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1" l="1"/>
  <c r="J22" i="1" l="1"/>
  <c r="I22" i="1"/>
  <c r="G22" i="1"/>
  <c r="F22" i="1"/>
  <c r="AA21" i="1"/>
  <c r="J21" i="1"/>
  <c r="I21" i="1"/>
  <c r="G21" i="1"/>
  <c r="F21" i="1"/>
  <c r="AA20" i="1"/>
  <c r="J20" i="1"/>
  <c r="I20" i="1"/>
  <c r="H20" i="1"/>
  <c r="G20" i="1"/>
  <c r="F20" i="1"/>
  <c r="AB19" i="1"/>
  <c r="AA19" i="1"/>
  <c r="J19" i="1"/>
  <c r="I19" i="1"/>
  <c r="G19" i="1"/>
  <c r="F19" i="1"/>
  <c r="H19" i="1" s="1"/>
  <c r="AA18" i="1"/>
  <c r="J18" i="1"/>
  <c r="I18" i="1"/>
  <c r="G18" i="1"/>
  <c r="F18" i="1"/>
  <c r="AB17" i="1"/>
  <c r="AA17" i="1"/>
  <c r="J17" i="1"/>
  <c r="I17" i="1"/>
  <c r="G17" i="1"/>
  <c r="F17" i="1"/>
  <c r="H17" i="1" s="1"/>
  <c r="AA16" i="1"/>
  <c r="J16" i="1"/>
  <c r="I16" i="1"/>
  <c r="G16" i="1"/>
  <c r="F16" i="1"/>
  <c r="AA15" i="1"/>
  <c r="J15" i="1"/>
  <c r="I15" i="1"/>
  <c r="G15" i="1"/>
  <c r="F15" i="1"/>
  <c r="AA14" i="1"/>
  <c r="J14" i="1"/>
  <c r="I14" i="1"/>
  <c r="G14" i="1"/>
  <c r="F14" i="1"/>
  <c r="AA13" i="1"/>
  <c r="J13" i="1"/>
  <c r="I13" i="1"/>
  <c r="G13" i="1"/>
  <c r="F13" i="1"/>
  <c r="AA12" i="1"/>
  <c r="J12" i="1"/>
  <c r="I12" i="1"/>
  <c r="H12" i="1"/>
  <c r="G12" i="1"/>
  <c r="F12" i="1"/>
  <c r="AB11" i="1"/>
  <c r="AA11" i="1"/>
  <c r="J11" i="1"/>
  <c r="I11" i="1"/>
  <c r="G11" i="1"/>
  <c r="F11" i="1"/>
  <c r="H11" i="1" s="1"/>
  <c r="AA10" i="1"/>
  <c r="J10" i="1"/>
  <c r="I10" i="1"/>
  <c r="H10" i="1"/>
  <c r="G10" i="1"/>
  <c r="F10" i="1"/>
  <c r="AE9" i="1"/>
  <c r="AA9" i="1"/>
  <c r="J9" i="1"/>
  <c r="I9" i="1"/>
  <c r="H9" i="1"/>
  <c r="G9" i="1"/>
  <c r="F9" i="1"/>
  <c r="AA8" i="1"/>
  <c r="AB8" i="1" s="1"/>
  <c r="J8" i="1"/>
  <c r="I8" i="1"/>
  <c r="G8" i="1"/>
  <c r="F8" i="1"/>
  <c r="AA7" i="1"/>
  <c r="J7" i="1"/>
  <c r="I7" i="1"/>
  <c r="G7" i="1"/>
  <c r="F7" i="1"/>
  <c r="AA6" i="1"/>
  <c r="J6" i="1"/>
  <c r="I6" i="1"/>
  <c r="G6" i="1"/>
  <c r="F6" i="1"/>
  <c r="H6" i="1" s="1"/>
  <c r="AA5" i="1"/>
  <c r="J5" i="1"/>
  <c r="I5" i="1"/>
  <c r="G5" i="1"/>
  <c r="F5" i="1"/>
  <c r="AB4" i="1"/>
  <c r="AA4" i="1"/>
  <c r="J4" i="1"/>
  <c r="I4" i="1"/>
  <c r="G4" i="1"/>
  <c r="F4" i="1"/>
  <c r="H4" i="1" s="1"/>
  <c r="AE3" i="1"/>
  <c r="AA3" i="1"/>
  <c r="J3" i="1"/>
  <c r="I3" i="1"/>
  <c r="H3" i="1"/>
  <c r="G3" i="1"/>
  <c r="F3" i="1"/>
  <c r="AB2" i="1"/>
  <c r="AA2" i="1"/>
  <c r="J2" i="1"/>
  <c r="I2" i="1"/>
  <c r="H2" i="1"/>
  <c r="G2" i="1"/>
  <c r="F2" i="1"/>
  <c r="K22" i="1" l="1"/>
  <c r="K20" i="1"/>
  <c r="K18" i="1"/>
  <c r="K16" i="1"/>
  <c r="K14" i="1"/>
  <c r="K12" i="1"/>
  <c r="K10" i="1"/>
  <c r="K3" i="1"/>
  <c r="K8" i="1"/>
  <c r="K6" i="1"/>
  <c r="K4" i="1"/>
  <c r="K9" i="1"/>
  <c r="L9" i="1" s="1"/>
  <c r="K17" i="1"/>
  <c r="L17" i="1" s="1"/>
  <c r="H18" i="1"/>
  <c r="K19" i="1"/>
  <c r="L19" i="1" s="1"/>
  <c r="K7" i="1"/>
  <c r="L7" i="1" s="1"/>
  <c r="K5" i="1"/>
  <c r="L5" i="1" s="1"/>
  <c r="H7" i="1"/>
  <c r="AB9" i="1"/>
  <c r="AB7" i="1"/>
  <c r="AB5" i="1"/>
  <c r="AB20" i="1"/>
  <c r="AB18" i="1"/>
  <c r="AB16" i="1"/>
  <c r="AB14" i="1"/>
  <c r="AB12" i="1"/>
  <c r="AB10" i="1"/>
  <c r="AB3" i="1"/>
  <c r="H15" i="1"/>
  <c r="K15" i="1"/>
  <c r="L15" i="1" s="1"/>
  <c r="AB15" i="1"/>
  <c r="H16" i="1"/>
  <c r="K11" i="1"/>
  <c r="L11" i="1" s="1"/>
  <c r="K2" i="1"/>
  <c r="H5" i="1"/>
  <c r="AB6" i="1"/>
  <c r="H8" i="1"/>
  <c r="H13" i="1"/>
  <c r="K13" i="1"/>
  <c r="L13" i="1" s="1"/>
  <c r="AB13" i="1"/>
  <c r="H14" i="1"/>
  <c r="H21" i="1"/>
  <c r="K21" i="1"/>
  <c r="L21" i="1" s="1"/>
  <c r="AB21" i="1"/>
  <c r="H22" i="1"/>
  <c r="M11" i="1" l="1"/>
  <c r="L4" i="1"/>
  <c r="M4" i="1"/>
  <c r="L10" i="1"/>
  <c r="M10" i="1"/>
  <c r="L18" i="1"/>
  <c r="M18" i="1"/>
  <c r="M3" i="1"/>
  <c r="L3" i="1"/>
  <c r="M2" i="1"/>
  <c r="L2" i="1"/>
  <c r="M17" i="1"/>
  <c r="M19" i="1"/>
  <c r="M7" i="1"/>
  <c r="L6" i="1"/>
  <c r="M6" i="1"/>
  <c r="L12" i="1"/>
  <c r="M12" i="1"/>
  <c r="L20" i="1"/>
  <c r="M20" i="1"/>
  <c r="M16" i="1"/>
  <c r="L16" i="1"/>
  <c r="M9" i="1"/>
  <c r="M15" i="1"/>
  <c r="M13" i="1"/>
  <c r="M5" i="1"/>
  <c r="M21" i="1"/>
  <c r="L8" i="1"/>
  <c r="M8" i="1"/>
  <c r="M14" i="1"/>
  <c r="L14" i="1"/>
  <c r="M22" i="1"/>
  <c r="L22" i="1"/>
  <c r="O17" i="1" l="1"/>
  <c r="X17" i="1"/>
  <c r="N17" i="1"/>
  <c r="T17" i="1"/>
  <c r="Q21" i="1"/>
  <c r="T21" i="1"/>
  <c r="N21" i="1"/>
  <c r="O21" i="1"/>
  <c r="X21" i="1"/>
  <c r="O4" i="1"/>
  <c r="P4" i="1" s="1"/>
  <c r="Q4" i="1"/>
  <c r="X4" i="1"/>
  <c r="N4" i="1"/>
  <c r="T4" i="1"/>
  <c r="U4" i="1" s="1"/>
  <c r="X15" i="1"/>
  <c r="N15" i="1"/>
  <c r="T15" i="1"/>
  <c r="U15" i="1" s="1"/>
  <c r="O15" i="1"/>
  <c r="P15" i="1" s="1"/>
  <c r="O2" i="1"/>
  <c r="T2" i="1"/>
  <c r="N2" i="1"/>
  <c r="X2" i="1"/>
  <c r="Q2" i="1"/>
  <c r="O22" i="1"/>
  <c r="N22" i="1"/>
  <c r="Q22" i="1"/>
  <c r="O20" i="1"/>
  <c r="X20" i="1"/>
  <c r="T20" i="1"/>
  <c r="N20" i="1"/>
  <c r="Q20" i="1"/>
  <c r="O6" i="1"/>
  <c r="P6" i="1" s="1"/>
  <c r="T6" i="1"/>
  <c r="U6" i="1" s="1"/>
  <c r="X6" i="1"/>
  <c r="N6" i="1"/>
  <c r="Q6" i="1"/>
  <c r="O3" i="1"/>
  <c r="P3" i="1" s="1"/>
  <c r="X3" i="1"/>
  <c r="T3" i="1"/>
  <c r="N3" i="1"/>
  <c r="Q3" i="1"/>
  <c r="X9" i="1"/>
  <c r="T9" i="1"/>
  <c r="N9" i="1"/>
  <c r="O9" i="1"/>
  <c r="P9" i="1" s="1"/>
  <c r="O18" i="1"/>
  <c r="X18" i="1"/>
  <c r="T18" i="1"/>
  <c r="N18" i="1"/>
  <c r="Q18" i="1"/>
  <c r="O14" i="1"/>
  <c r="P14" i="1" s="1"/>
  <c r="X14" i="1"/>
  <c r="T14" i="1"/>
  <c r="U14" i="1" s="1"/>
  <c r="N14" i="1"/>
  <c r="Q14" i="1"/>
  <c r="X5" i="1"/>
  <c r="T5" i="1"/>
  <c r="U5" i="1" s="1"/>
  <c r="N5" i="1"/>
  <c r="O5" i="1"/>
  <c r="P5" i="1" s="1"/>
  <c r="O12" i="1"/>
  <c r="P12" i="1" s="1"/>
  <c r="X12" i="1"/>
  <c r="T12" i="1"/>
  <c r="N12" i="1"/>
  <c r="Q12" i="1"/>
  <c r="X7" i="1"/>
  <c r="T7" i="1"/>
  <c r="N7" i="1"/>
  <c r="Q7" i="1"/>
  <c r="O7" i="1"/>
  <c r="O8" i="1"/>
  <c r="Q8" i="1"/>
  <c r="T8" i="1"/>
  <c r="U8" i="1" s="1"/>
  <c r="X8" i="1"/>
  <c r="N8" i="1"/>
  <c r="Q13" i="1"/>
  <c r="T13" i="1"/>
  <c r="U13" i="1" s="1"/>
  <c r="O13" i="1"/>
  <c r="X13" i="1"/>
  <c r="N13" i="1"/>
  <c r="O16" i="1"/>
  <c r="P16" i="1" s="1"/>
  <c r="X16" i="1"/>
  <c r="T16" i="1"/>
  <c r="N16" i="1"/>
  <c r="Q16" i="1"/>
  <c r="T19" i="1"/>
  <c r="U19" i="1" s="1"/>
  <c r="O19" i="1"/>
  <c r="P19" i="1" s="1"/>
  <c r="X19" i="1"/>
  <c r="N19" i="1"/>
  <c r="O10" i="1"/>
  <c r="P10" i="1" s="1"/>
  <c r="X10" i="1"/>
  <c r="T10" i="1"/>
  <c r="U10" i="1" s="1"/>
  <c r="N10" i="1"/>
  <c r="Q10" i="1"/>
  <c r="Q11" i="1"/>
  <c r="T11" i="1"/>
  <c r="U11" i="1" s="1"/>
  <c r="X11" i="1"/>
  <c r="O11" i="1"/>
  <c r="N11" i="1"/>
  <c r="AC3" i="1" l="1"/>
  <c r="Y3" i="1"/>
  <c r="Z3" i="1" s="1"/>
  <c r="Q15" i="1"/>
  <c r="AC5" i="1"/>
  <c r="Y5" i="1"/>
  <c r="Z5" i="1" s="1"/>
  <c r="AC14" i="1"/>
  <c r="Y14" i="1"/>
  <c r="Z14" i="1" s="1"/>
  <c r="U18" i="1"/>
  <c r="Q9" i="1"/>
  <c r="W6" i="1"/>
  <c r="U20" i="1"/>
  <c r="Y22" i="1"/>
  <c r="Z22" i="1" s="1"/>
  <c r="U22" i="1"/>
  <c r="U21" i="1"/>
  <c r="Y17" i="1"/>
  <c r="Z17" i="1" s="1"/>
  <c r="AC17" i="1"/>
  <c r="AC2" i="1"/>
  <c r="Y2" i="1"/>
  <c r="Z2" i="1" s="1"/>
  <c r="AC10" i="1"/>
  <c r="Y10" i="1"/>
  <c r="Z10" i="1" s="1"/>
  <c r="P11" i="1"/>
  <c r="U16" i="1"/>
  <c r="AC13" i="1"/>
  <c r="Y13" i="1"/>
  <c r="Z13" i="1" s="1"/>
  <c r="P8" i="1"/>
  <c r="U7" i="1"/>
  <c r="U12" i="1"/>
  <c r="Q5" i="1"/>
  <c r="AC18" i="1"/>
  <c r="Y18" i="1"/>
  <c r="Z18" i="1" s="1"/>
  <c r="AC20" i="1"/>
  <c r="Y20" i="1"/>
  <c r="Z20" i="1" s="1"/>
  <c r="P22" i="1"/>
  <c r="V8" i="1"/>
  <c r="V6" i="1"/>
  <c r="V4" i="1"/>
  <c r="V21" i="1"/>
  <c r="V19" i="1"/>
  <c r="V17" i="1"/>
  <c r="V15" i="1"/>
  <c r="V13" i="1"/>
  <c r="V11" i="1"/>
  <c r="V20" i="1"/>
  <c r="V12" i="1"/>
  <c r="V5" i="1"/>
  <c r="U2" i="1"/>
  <c r="W2" i="1" s="1"/>
  <c r="V3" i="1"/>
  <c r="V2" i="1"/>
  <c r="V14" i="1"/>
  <c r="V7" i="1"/>
  <c r="V9" i="1"/>
  <c r="V16" i="1"/>
  <c r="V18" i="1"/>
  <c r="V10" i="1"/>
  <c r="Y21" i="1"/>
  <c r="Z21" i="1" s="1"/>
  <c r="AC21" i="1"/>
  <c r="P17" i="1"/>
  <c r="Y19" i="1"/>
  <c r="Z19" i="1" s="1"/>
  <c r="AC19" i="1"/>
  <c r="Y9" i="1"/>
  <c r="Z9" i="1" s="1"/>
  <c r="AC9" i="1"/>
  <c r="AC6" i="1"/>
  <c r="Y6" i="1"/>
  <c r="Z6" i="1" s="1"/>
  <c r="Y11" i="1"/>
  <c r="Z11" i="1" s="1"/>
  <c r="AC11" i="1"/>
  <c r="Q19" i="1"/>
  <c r="AC16" i="1"/>
  <c r="Y16" i="1"/>
  <c r="Z16" i="1" s="1"/>
  <c r="P13" i="1"/>
  <c r="AC8" i="1"/>
  <c r="Y8" i="1"/>
  <c r="Z8" i="1" s="1"/>
  <c r="P7" i="1"/>
  <c r="Y7" i="1"/>
  <c r="Z7" i="1" s="1"/>
  <c r="AC7" i="1"/>
  <c r="AC12" i="1"/>
  <c r="Y12" i="1"/>
  <c r="Z12" i="1" s="1"/>
  <c r="P18" i="1"/>
  <c r="U9" i="1"/>
  <c r="W9" i="1" s="1"/>
  <c r="U3" i="1"/>
  <c r="P20" i="1"/>
  <c r="P2" i="1"/>
  <c r="AC15" i="1"/>
  <c r="Y15" i="1"/>
  <c r="Z15" i="1" s="1"/>
  <c r="AC4" i="1"/>
  <c r="Y4" i="1"/>
  <c r="Z4" i="1" s="1"/>
  <c r="P21" i="1"/>
  <c r="U17" i="1"/>
  <c r="Q17" i="1"/>
  <c r="W12" i="1" l="1"/>
  <c r="AC23" i="1"/>
  <c r="W11" i="1"/>
  <c r="W7" i="1"/>
  <c r="W16" i="1"/>
  <c r="W13" i="1"/>
  <c r="W21" i="1"/>
  <c r="W18" i="1"/>
  <c r="W14" i="1"/>
  <c r="W15" i="1"/>
  <c r="W17" i="1"/>
  <c r="W3" i="1"/>
  <c r="W5" i="1"/>
  <c r="W19" i="1"/>
  <c r="Y24" i="1"/>
  <c r="W10" i="1"/>
  <c r="W4" i="1"/>
  <c r="W20" i="1"/>
  <c r="W8" i="1"/>
</calcChain>
</file>

<file path=xl/sharedStrings.xml><?xml version="1.0" encoding="utf-8"?>
<sst xmlns="http://schemas.openxmlformats.org/spreadsheetml/2006/main" count="55" uniqueCount="55">
  <si>
    <t xml:space="preserve">Sample name </t>
  </si>
  <si>
    <t>Time separated</t>
  </si>
  <si>
    <t>Time measured</t>
  </si>
  <si>
    <t>Measured Counts (cpm)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</si>
  <si>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</si>
  <si>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</si>
  <si>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(cpm)</t>
  </si>
  <si>
    <t>Total Bkgd corrected counts σ</t>
  </si>
  <si>
    <t>Time elapsed (hrs)</t>
  </si>
  <si>
    <r>
      <t xml:space="preserve">Time elapsed (hrs) </t>
    </r>
    <r>
      <rPr>
        <sz val="11"/>
        <color theme="1"/>
        <rFont val="Calibri"/>
        <family val="2"/>
      </rPr>
      <t>σ</t>
    </r>
  </si>
  <si>
    <t>Ingrowth factor</t>
  </si>
  <si>
    <r>
      <t xml:space="preserve">Ingrowth factor </t>
    </r>
    <r>
      <rPr>
        <sz val="11"/>
        <color theme="1"/>
        <rFont val="Calibri"/>
        <family val="2"/>
      </rPr>
      <t>σ</t>
    </r>
  </si>
  <si>
    <t>CPM of Sr-90</t>
  </si>
  <si>
    <r>
      <t xml:space="preserve">CPM of Sr-90 </t>
    </r>
    <r>
      <rPr>
        <sz val="11"/>
        <color theme="1"/>
        <rFont val="Calibri"/>
        <family val="2"/>
      </rPr>
      <t>σ</t>
    </r>
  </si>
  <si>
    <t xml:space="preserve">CPM of Y-90 </t>
  </si>
  <si>
    <r>
      <t xml:space="preserve">CPM of Y-90 </t>
    </r>
    <r>
      <rPr>
        <sz val="11"/>
        <color theme="1"/>
        <rFont val="Calibri"/>
        <family val="2"/>
      </rPr>
      <t>σ</t>
    </r>
  </si>
  <si>
    <t>DPM Total</t>
  </si>
  <si>
    <t>Weight of eluate</t>
  </si>
  <si>
    <t>Weight of Eluate (g) σ</t>
  </si>
  <si>
    <t>Weight Corrected Sr-90 Activity (DPM)</t>
  </si>
  <si>
    <t>Weight Corrected Sr-90 Activity (DPM) σ</t>
  </si>
  <si>
    <t>Cumulative Activity (DPM)</t>
  </si>
  <si>
    <t>Cumulative Activity (DPM) σ</t>
  </si>
  <si>
    <t>Activity (bq)</t>
  </si>
  <si>
    <t>Activity (Bq) σ</t>
  </si>
  <si>
    <t>Activity (Bq) σ ^2</t>
  </si>
  <si>
    <t>Time from 05.06.2018</t>
  </si>
  <si>
    <t>DC factor</t>
  </si>
  <si>
    <t>DC to 05.06.2018</t>
  </si>
  <si>
    <t>CT17 1 mL</t>
  </si>
  <si>
    <t>Decay constant of Y-90=</t>
  </si>
  <si>
    <t>CT17 2 mL</t>
  </si>
  <si>
    <t>CT17 3 mL</t>
  </si>
  <si>
    <t>CT17 4 mL</t>
  </si>
  <si>
    <t>CT17 5 mL</t>
  </si>
  <si>
    <t>CT17 6 mL</t>
  </si>
  <si>
    <t>CT17 7 mL</t>
  </si>
  <si>
    <t>Decay constant of sr-90=</t>
  </si>
  <si>
    <t>CT17 8 mL</t>
  </si>
  <si>
    <t>CT17 9 mL</t>
  </si>
  <si>
    <t>CT17 10 mL</t>
  </si>
  <si>
    <t>CT17 11 mL</t>
  </si>
  <si>
    <t>CT17 12 mL</t>
  </si>
  <si>
    <t>CT17 13 mL</t>
  </si>
  <si>
    <t>CT17 14 mL</t>
  </si>
  <si>
    <t>CT17 15 mL</t>
  </si>
  <si>
    <t>CT17 16 mL</t>
  </si>
  <si>
    <t>CT17 17 mL</t>
  </si>
  <si>
    <t>CT17 18 mL</t>
  </si>
  <si>
    <t>CT17 19 mL</t>
  </si>
  <si>
    <t>CT17 20 mL</t>
  </si>
  <si>
    <t>Blk</t>
  </si>
  <si>
    <t>Sr-90 activity recovered</t>
  </si>
  <si>
    <t>5 ml/min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</si>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</sst>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3" xfId="0" applyNumberFormat="1" applyBorder="1"/>
    <xf numFmtId="0" fontId="0" fillId="2" borderId="3" xfId="0" applyFill="1" applyBorder="1"/>
    <xf numFmtId="0" fontId="0" fillId="0" borderId="4" xfId="0" applyBorder="1"/>
    <xf numFmtId="0" fontId="0" fillId="0" borderId="5" xfId="0" applyBorder="1"/>
    <xf numFmtId="22" fontId="0" fillId="0" borderId="6" xfId="0" applyNumberFormat="1" applyBorder="1"/>
    <xf numFmtId="22" fontId="0" fillId="0" borderId="7" xfId="0" applyNumberFormat="1" applyBorder="1"/>
    <xf numFmtId="0" fontId="0" fillId="0" borderId="7" xfId="0" applyNumberFormat="1" applyBorder="1"/>
    <xf numFmtId="0" fontId="0" fillId="2" borderId="7" xfId="0" applyNumberFormat="1" applyFill="1" applyBorder="1"/>
    <xf numFmtId="0" fontId="0" fillId="2" borderId="7" xfId="0" applyFill="1" applyBorder="1"/>
    <xf numFmtId="0" fontId="0" fillId="0" borderId="7" xfId="0" applyBorder="1"/>
    <xf numFmtId="164" fontId="0" fillId="0" borderId="7" xfId="0" applyNumberFormat="1" applyBorder="1"/>
    <xf numFmtId="165" fontId="0" fillId="2" borderId="7" xfId="0" applyNumberFormat="1" applyFill="1" applyBorder="1"/>
    <xf numFmtId="166" fontId="0" fillId="0" borderId="7" xfId="0" applyNumberFormat="1" applyBorder="1"/>
    <xf numFmtId="0" fontId="0" fillId="0" borderId="8" xfId="0" applyBorder="1"/>
    <xf numFmtId="22" fontId="0" fillId="0" borderId="9" xfId="0" applyNumberFormat="1" applyBorder="1"/>
    <xf numFmtId="22" fontId="0" fillId="0" borderId="10" xfId="0" applyNumberFormat="1" applyBorder="1"/>
    <xf numFmtId="0" fontId="0" fillId="0" borderId="10" xfId="0" applyNumberFormat="1" applyBorder="1"/>
    <xf numFmtId="0" fontId="0" fillId="2" borderId="10" xfId="0" applyNumberFormat="1" applyFill="1" applyBorder="1"/>
    <xf numFmtId="0" fontId="0" fillId="2" borderId="10" xfId="0" applyFill="1" applyBorder="1"/>
    <xf numFmtId="0" fontId="0" fillId="0" borderId="10" xfId="0" applyBorder="1"/>
    <xf numFmtId="164" fontId="0" fillId="0" borderId="10" xfId="0" applyNumberFormat="1" applyBorder="1"/>
    <xf numFmtId="165" fontId="0" fillId="2" borderId="10" xfId="0" applyNumberFormat="1" applyFill="1" applyBorder="1"/>
    <xf numFmtId="166" fontId="0" fillId="0" borderId="10" xfId="0" applyNumberFormat="1" applyBorder="1"/>
    <xf numFmtId="22" fontId="0" fillId="0" borderId="0" xfId="0" applyNumberFormat="1"/>
    <xf numFmtId="0" fontId="0" fillId="0" borderId="11" xfId="0" applyBorder="1"/>
    <xf numFmtId="0" fontId="0" fillId="2" borderId="0" xfId="0" applyFill="1"/>
    <xf numFmtId="0" fontId="0" fillId="3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"/>
  <sheetViews>
    <sheetView tabSelected="1" topLeftCell="I1" zoomScale="60" zoomScaleNormal="60" workbookViewId="0">
      <selection activeCell="W23" sqref="W23:Y24"/>
    </sheetView>
  </sheetViews>
  <sheetFormatPr defaultRowHeight="15" x14ac:dyDescent="0.25"/>
  <cols>
    <col min="1" max="1" width="15.28515625" bestFit="1" customWidth="1"/>
    <col min="2" max="2" width="17.140625" bestFit="1" customWidth="1"/>
    <col min="3" max="3" width="18" bestFit="1" customWidth="1"/>
    <col min="4" max="4" width="24.5703125" bestFit="1" customWidth="1"/>
    <col min="5" max="5" width="22.140625" style="29" bestFit="1" customWidth="1"/>
    <col min="6" max="6" width="20" style="29" bestFit="1" customWidth="1"/>
    <col min="7" max="7" width="34.5703125" bestFit="1" customWidth="1"/>
    <col min="8" max="8" width="30.140625" bestFit="1" customWidth="1"/>
    <col min="9" max="9" width="20" bestFit="1" customWidth="1"/>
    <col min="10" max="10" width="21.5703125" bestFit="1" customWidth="1"/>
    <col min="11" max="11" width="16" bestFit="1" customWidth="1"/>
    <col min="12" max="12" width="17.7109375" customWidth="1"/>
    <col min="13" max="13" width="13" bestFit="1" customWidth="1"/>
    <col min="14" max="14" width="14.5703125" bestFit="1" customWidth="1"/>
    <col min="15" max="15" width="13" bestFit="1" customWidth="1"/>
    <col min="16" max="16" width="13.7109375" bestFit="1" customWidth="1"/>
    <col min="17" max="17" width="11" bestFit="1" customWidth="1"/>
    <col min="18" max="18" width="17.85546875" bestFit="1" customWidth="1"/>
    <col min="19" max="19" width="22.42578125" bestFit="1" customWidth="1"/>
    <col min="20" max="20" width="37.7109375" bestFit="1" customWidth="1"/>
    <col min="21" max="21" width="39.28515625" bestFit="1" customWidth="1"/>
    <col min="22" max="22" width="26.28515625" bestFit="1" customWidth="1"/>
    <col min="23" max="23" width="28" bestFit="1" customWidth="1"/>
    <col min="24" max="24" width="13" bestFit="1" customWidth="1"/>
    <col min="25" max="25" width="14.28515625" bestFit="1" customWidth="1"/>
    <col min="26" max="26" width="17" bestFit="1" customWidth="1"/>
    <col min="27" max="27" width="21.5703125" bestFit="1" customWidth="1"/>
    <col min="28" max="28" width="11.42578125" bestFit="1" customWidth="1"/>
    <col min="29" max="29" width="16.5703125" bestFit="1" customWidth="1"/>
    <col min="30" max="30" width="24.140625" customWidth="1"/>
    <col min="31" max="31" width="22.140625" bestFit="1" customWidth="1"/>
  </cols>
  <sheetData>
    <row r="1" spans="1:31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  <c r="G1" s="3" t="s">
        <v>6</v>
      </c>
      <c r="H1" s="5" t="s">
        <v>7</v>
      </c>
      <c r="I1" s="3" t="s">
        <v>8</v>
      </c>
      <c r="J1" s="5" t="s">
        <v>9</v>
      </c>
      <c r="K1" s="3" t="s">
        <v>10</v>
      </c>
      <c r="L1" s="5" t="s">
        <v>11</v>
      </c>
      <c r="M1" s="3" t="s">
        <v>12</v>
      </c>
      <c r="N1" s="5" t="s">
        <v>13</v>
      </c>
      <c r="O1" s="3" t="s">
        <v>14</v>
      </c>
      <c r="P1" s="5" t="s">
        <v>15</v>
      </c>
      <c r="Q1" s="3" t="s">
        <v>16</v>
      </c>
      <c r="R1" s="3" t="s">
        <v>17</v>
      </c>
      <c r="S1" s="5" t="s">
        <v>18</v>
      </c>
      <c r="T1" s="3" t="s">
        <v>19</v>
      </c>
      <c r="U1" s="5" t="s">
        <v>20</v>
      </c>
      <c r="V1" s="3" t="s">
        <v>21</v>
      </c>
      <c r="W1" s="5" t="s">
        <v>22</v>
      </c>
      <c r="X1" s="3" t="s">
        <v>23</v>
      </c>
      <c r="Y1" s="5" t="s">
        <v>24</v>
      </c>
      <c r="Z1" s="5" t="s">
        <v>25</v>
      </c>
      <c r="AA1" s="3" t="s">
        <v>26</v>
      </c>
      <c r="AB1" s="3" t="s">
        <v>27</v>
      </c>
      <c r="AC1" s="6" t="s">
        <v>28</v>
      </c>
    </row>
    <row r="2" spans="1:31" x14ac:dyDescent="0.25">
      <c r="A2" s="7" t="s">
        <v>29</v>
      </c>
      <c r="B2" s="8">
        <v>43305.489583333336</v>
      </c>
      <c r="C2" s="9">
        <v>43305.615277777775</v>
      </c>
      <c r="D2" s="10">
        <v>9.92</v>
      </c>
      <c r="E2" s="11">
        <v>5.86</v>
      </c>
      <c r="F2" s="12">
        <f>D2*(E2/100)</f>
        <v>0.58131200000000005</v>
      </c>
      <c r="G2" s="13">
        <f t="shared" ref="G2:G22" si="0">D2-$D$22</f>
        <v>3.0999999999999996</v>
      </c>
      <c r="H2" s="12">
        <f>SQRT((F2^2)+(F$17^2))</f>
        <v>0.87223444210831302</v>
      </c>
      <c r="I2" s="14">
        <f t="shared" ref="I2:I21" si="1">(C2-B2)*24</f>
        <v>3.0166666665463708</v>
      </c>
      <c r="J2" s="15">
        <f>1/60</f>
        <v>1.6666666666666666E-2</v>
      </c>
      <c r="K2" s="13">
        <f t="shared" ref="K2:K22" si="2">1-EXP(-$AE$3*I2)</f>
        <v>3.3481922851185675E-2</v>
      </c>
      <c r="L2" s="12">
        <f>K2*SQRT(((J2/I2)^2))</f>
        <v>1.8498299918519797E-4</v>
      </c>
      <c r="M2" s="13">
        <f t="shared" ref="M2:M22" si="3">G2/((1+K2))</f>
        <v>2.9995686731004176</v>
      </c>
      <c r="N2" s="12">
        <f t="shared" ref="N2:N22" si="4">M2*SQRT(((H2/G2)^2)+((L2/K2)^2))</f>
        <v>0.84413917552908224</v>
      </c>
      <c r="O2" s="13">
        <f t="shared" ref="O2:O22" si="5">M2*K2</f>
        <v>0.10043132689958156</v>
      </c>
      <c r="P2" s="12">
        <f t="shared" ref="P2:P22" si="6">O2*SQRT(((N2/M2)^2)+((L2/K2)^2))</f>
        <v>2.8268848842664687E-2</v>
      </c>
      <c r="Q2" s="13">
        <f>M2+O2</f>
        <v>3.0999999999999992</v>
      </c>
      <c r="R2" s="13">
        <v>1.0273000000000003</v>
      </c>
      <c r="S2" s="12">
        <v>1.4142135623730951E-4</v>
      </c>
      <c r="T2" s="13">
        <f t="shared" ref="T2:T21" si="7">M2/R2</f>
        <v>2.9198565882414256</v>
      </c>
      <c r="U2" s="12">
        <f>T2*SQRT(((S2/R2)^2)+((N2/M2)^2))</f>
        <v>0.82170668405158676</v>
      </c>
      <c r="V2" s="13">
        <f>SUM($T$2:T2)</f>
        <v>2.9198565882414256</v>
      </c>
      <c r="W2" s="12">
        <f>SQRT((U2^2))</f>
        <v>0.82170668405158676</v>
      </c>
      <c r="X2" s="13">
        <f>M2/60</f>
        <v>4.9992811218340295E-2</v>
      </c>
      <c r="Y2" s="12">
        <f>X2*SQRT(((N2/M2)^2))</f>
        <v>1.4068986258818037E-2</v>
      </c>
      <c r="Z2" s="12">
        <f>Y2^2</f>
        <v>1.9793637435081075E-4</v>
      </c>
      <c r="AA2" s="13">
        <f t="shared" ref="AA2:AA21" si="8">(C2-$AE$6)*24</f>
        <v>122.76666666660458</v>
      </c>
      <c r="AB2" s="16">
        <f>EXP(-$AE$9*AA2)</f>
        <v>0.99966276232172058</v>
      </c>
      <c r="AC2" s="13">
        <f>X2/AB2</f>
        <v>5.0009676365489301E-2</v>
      </c>
      <c r="AE2" t="s">
        <v>30</v>
      </c>
    </row>
    <row r="3" spans="1:31" x14ac:dyDescent="0.25">
      <c r="A3" s="17" t="s">
        <v>31</v>
      </c>
      <c r="B3" s="18">
        <v>43305.489722222221</v>
      </c>
      <c r="C3" s="19">
        <v>43305.637499999997</v>
      </c>
      <c r="D3" s="20">
        <v>9.89</v>
      </c>
      <c r="E3" s="21">
        <v>5.87</v>
      </c>
      <c r="F3" s="22">
        <f t="shared" ref="F3:F22" si="9">D3*(E3/100)</f>
        <v>0.58054300000000003</v>
      </c>
      <c r="G3" s="23">
        <f t="shared" si="0"/>
        <v>3.0700000000000003</v>
      </c>
      <c r="H3" s="22">
        <f>SQRT((F3^2)+(F$17^2))</f>
        <v>0.87172212057799714</v>
      </c>
      <c r="I3" s="24">
        <f t="shared" si="1"/>
        <v>3.5466666666325182</v>
      </c>
      <c r="J3" s="25">
        <f t="shared" ref="J3:J22" si="10">1/60</f>
        <v>1.6666666666666666E-2</v>
      </c>
      <c r="K3" s="23">
        <f t="shared" si="2"/>
        <v>3.9247520804571723E-2</v>
      </c>
      <c r="L3" s="22">
        <f t="shared" ref="L3:L22" si="11">K3*SQRT(((J3/I3)^2))</f>
        <v>1.8443383836912411E-4</v>
      </c>
      <c r="M3" s="23">
        <f t="shared" si="3"/>
        <v>2.9540604509917396</v>
      </c>
      <c r="N3" s="22">
        <f t="shared" si="4"/>
        <v>0.83891611311625347</v>
      </c>
      <c r="O3" s="23">
        <f t="shared" si="5"/>
        <v>0.11593954900826083</v>
      </c>
      <c r="P3" s="22">
        <f t="shared" si="6"/>
        <v>3.2929885037896955E-2</v>
      </c>
      <c r="Q3" s="23">
        <f t="shared" ref="Q3:Q22" si="12">M3+O3</f>
        <v>3.0700000000000003</v>
      </c>
      <c r="R3" s="23">
        <v>1.0228999999999999</v>
      </c>
      <c r="S3" s="22">
        <v>1.4142135623730951E-4</v>
      </c>
      <c r="T3" s="23">
        <f t="shared" si="7"/>
        <v>2.8879269244224655</v>
      </c>
      <c r="U3" s="22">
        <f t="shared" ref="U3:U22" si="13">T3*SQRT(((S3/R3)^2)+((N3/M3)^2))</f>
        <v>0.82013511832211672</v>
      </c>
      <c r="V3" s="23">
        <f>SUM($T$2:T3)</f>
        <v>5.8077835126638906</v>
      </c>
      <c r="W3" s="22">
        <f>SQRT((U3^2)+(U2^2))</f>
        <v>1.1609580039434186</v>
      </c>
      <c r="X3" s="23">
        <f t="shared" ref="X3:X21" si="14">M3/60</f>
        <v>4.9234340849862328E-2</v>
      </c>
      <c r="Y3" s="22">
        <f t="shared" ref="Y3:Y16" si="15">X3*SQRT(((N3/M3)^2))</f>
        <v>1.3981935218604224E-2</v>
      </c>
      <c r="Z3" s="22">
        <f t="shared" ref="Z3:Z16" si="16">Y3^2</f>
        <v>1.9549451245724515E-4</v>
      </c>
      <c r="AA3" s="23">
        <f t="shared" si="8"/>
        <v>123.29999999993015</v>
      </c>
      <c r="AB3" s="26">
        <f t="shared" ref="AB3:AB21" si="17">EXP(-$AE$9*AA3)</f>
        <v>0.99966129751342203</v>
      </c>
      <c r="AC3" s="23">
        <f t="shared" ref="AC3:AC21" si="18">X3/AB3</f>
        <v>4.9251022293579673E-2</v>
      </c>
      <c r="AE3">
        <f>LN(2)/61.4</f>
        <v>1.1289042028663604E-2</v>
      </c>
    </row>
    <row r="4" spans="1:31" x14ac:dyDescent="0.25">
      <c r="A4" s="17" t="s">
        <v>32</v>
      </c>
      <c r="B4" s="18">
        <v>43305.489861111113</v>
      </c>
      <c r="C4" s="19">
        <v>43305.660416666666</v>
      </c>
      <c r="D4" s="20">
        <v>8.15</v>
      </c>
      <c r="E4" s="21">
        <v>6.47</v>
      </c>
      <c r="F4" s="22">
        <f t="shared" si="9"/>
        <v>0.52730500000000002</v>
      </c>
      <c r="G4" s="23">
        <f t="shared" si="0"/>
        <v>1.33</v>
      </c>
      <c r="H4" s="22">
        <f t="shared" ref="H4:H17" si="19">SQRT((F4^2)+(F$17^2))</f>
        <v>0.83720955780557127</v>
      </c>
      <c r="I4" s="24">
        <f t="shared" si="1"/>
        <v>4.0933333332650363</v>
      </c>
      <c r="J4" s="25">
        <f t="shared" si="10"/>
        <v>1.6666666666666666E-2</v>
      </c>
      <c r="K4" s="23">
        <f t="shared" si="2"/>
        <v>4.5158396088847308E-2</v>
      </c>
      <c r="L4" s="22">
        <f t="shared" si="11"/>
        <v>1.8386969091856991E-4</v>
      </c>
      <c r="M4" s="23">
        <f t="shared" si="3"/>
        <v>1.2725343880669919</v>
      </c>
      <c r="N4" s="22">
        <f t="shared" si="4"/>
        <v>0.80105281135948991</v>
      </c>
      <c r="O4" s="23">
        <f t="shared" si="5"/>
        <v>5.746561193300815E-2</v>
      </c>
      <c r="P4" s="22">
        <f t="shared" si="6"/>
        <v>3.6175016845925709E-2</v>
      </c>
      <c r="Q4" s="23">
        <f t="shared" si="12"/>
        <v>1.33</v>
      </c>
      <c r="R4" s="23">
        <v>0.99340000000000028</v>
      </c>
      <c r="S4" s="22">
        <v>1.4142135623730951E-4</v>
      </c>
      <c r="T4" s="23">
        <f t="shared" si="7"/>
        <v>1.280988914905367</v>
      </c>
      <c r="U4" s="22">
        <f t="shared" si="13"/>
        <v>0.80637490622527574</v>
      </c>
      <c r="V4" s="23">
        <f>SUM($T$2:T4)</f>
        <v>7.0887724275692579</v>
      </c>
      <c r="W4" s="22">
        <f>SQRT((U4^2)+(U3^2)+(U2^2))</f>
        <v>1.4135289089049821</v>
      </c>
      <c r="X4" s="23">
        <f t="shared" si="14"/>
        <v>2.1208906467783197E-2</v>
      </c>
      <c r="Y4" s="22">
        <f t="shared" si="15"/>
        <v>1.3350880189324831E-2</v>
      </c>
      <c r="Z4" s="22">
        <f t="shared" si="16"/>
        <v>1.7824600182970624E-4</v>
      </c>
      <c r="AA4" s="23">
        <f t="shared" si="8"/>
        <v>123.84999999997672</v>
      </c>
      <c r="AB4" s="26">
        <f t="shared" si="17"/>
        <v>0.9996597869321121</v>
      </c>
      <c r="AC4" s="23">
        <f t="shared" si="18"/>
        <v>2.1216124470578024E-2</v>
      </c>
    </row>
    <row r="5" spans="1:31" x14ac:dyDescent="0.25">
      <c r="A5" s="17" t="s">
        <v>33</v>
      </c>
      <c r="B5" s="18">
        <v>43305.489999826386</v>
      </c>
      <c r="C5" s="19">
        <v>43305.683333275461</v>
      </c>
      <c r="D5" s="20">
        <v>8.2200000000000006</v>
      </c>
      <c r="E5" s="21">
        <v>6.44</v>
      </c>
      <c r="F5" s="22">
        <f t="shared" si="9"/>
        <v>0.52936800000000006</v>
      </c>
      <c r="G5" s="23">
        <f t="shared" si="0"/>
        <v>1.4000000000000004</v>
      </c>
      <c r="H5" s="22">
        <f t="shared" si="19"/>
        <v>0.83851044124685781</v>
      </c>
      <c r="I5" s="24">
        <f t="shared" si="1"/>
        <v>4.640002777799964</v>
      </c>
      <c r="J5" s="25">
        <f t="shared" si="10"/>
        <v>1.6666666666666666E-2</v>
      </c>
      <c r="K5" s="23">
        <f t="shared" si="2"/>
        <v>5.1032935421984837E-2</v>
      </c>
      <c r="L5" s="22">
        <f t="shared" si="11"/>
        <v>1.8330784795414092E-4</v>
      </c>
      <c r="M5" s="23">
        <f t="shared" si="3"/>
        <v>1.3320229583841792</v>
      </c>
      <c r="N5" s="22">
        <f t="shared" si="4"/>
        <v>0.79781088875738582</v>
      </c>
      <c r="O5" s="23">
        <f t="shared" si="5"/>
        <v>6.7977041615821007E-2</v>
      </c>
      <c r="P5" s="22">
        <f t="shared" si="6"/>
        <v>4.0715363716702056E-2</v>
      </c>
      <c r="Q5" s="23">
        <f t="shared" si="12"/>
        <v>1.4000000000000001</v>
      </c>
      <c r="R5" s="23">
        <v>0.85529999999999973</v>
      </c>
      <c r="S5" s="22">
        <v>1.4142135623730951E-4</v>
      </c>
      <c r="T5" s="23">
        <f t="shared" si="7"/>
        <v>1.557375141335414</v>
      </c>
      <c r="U5" s="22">
        <f t="shared" si="13"/>
        <v>0.93278489320506353</v>
      </c>
      <c r="V5" s="23">
        <f>SUM($T$2:T5)</f>
        <v>8.6461475689046718</v>
      </c>
      <c r="W5" s="22">
        <f>SQRT((U5^2)+(U4^2)+(U3^2)+(U2^2))</f>
        <v>1.6935618185651478</v>
      </c>
      <c r="X5" s="23">
        <f t="shared" si="14"/>
        <v>2.2200382639736321E-2</v>
      </c>
      <c r="Y5" s="22">
        <f t="shared" si="15"/>
        <v>1.3296848145956431E-2</v>
      </c>
      <c r="Z5" s="22">
        <f t="shared" si="16"/>
        <v>1.7680617061662497E-4</v>
      </c>
      <c r="AA5" s="23">
        <f t="shared" si="8"/>
        <v>124.39999861107208</v>
      </c>
      <c r="AB5" s="26">
        <f t="shared" si="17"/>
        <v>0.99965827635689952</v>
      </c>
      <c r="AC5" s="23">
        <f t="shared" si="18"/>
        <v>2.2207971628707156E-2</v>
      </c>
    </row>
    <row r="6" spans="1:31" x14ac:dyDescent="0.25">
      <c r="A6" s="17" t="s">
        <v>34</v>
      </c>
      <c r="B6" s="18">
        <v>43305.490138657406</v>
      </c>
      <c r="C6" s="19">
        <v>43305.70624994213</v>
      </c>
      <c r="D6" s="20">
        <v>36.78</v>
      </c>
      <c r="E6" s="21">
        <v>3.05</v>
      </c>
      <c r="F6" s="22">
        <f t="shared" si="9"/>
        <v>1.1217900000000001</v>
      </c>
      <c r="G6" s="23">
        <f t="shared" si="0"/>
        <v>29.96</v>
      </c>
      <c r="H6" s="22">
        <f t="shared" si="19"/>
        <v>1.2966426202913433</v>
      </c>
      <c r="I6" s="24">
        <f t="shared" si="1"/>
        <v>5.1866708333836868</v>
      </c>
      <c r="J6" s="25">
        <f t="shared" si="10"/>
        <v>1.6666666666666666E-2</v>
      </c>
      <c r="K6" s="23">
        <f t="shared" si="2"/>
        <v>5.687131762433284E-2</v>
      </c>
      <c r="L6" s="22">
        <f t="shared" si="11"/>
        <v>1.8274830313851201E-4</v>
      </c>
      <c r="M6" s="23">
        <f t="shared" si="3"/>
        <v>28.347822010483732</v>
      </c>
      <c r="N6" s="22">
        <f t="shared" si="4"/>
        <v>1.2302459888674797</v>
      </c>
      <c r="O6" s="23">
        <f t="shared" si="5"/>
        <v>1.6121779895162738</v>
      </c>
      <c r="P6" s="22">
        <f t="shared" si="6"/>
        <v>7.0157240396771056E-2</v>
      </c>
      <c r="Q6" s="23">
        <f t="shared" si="12"/>
        <v>29.960000000000004</v>
      </c>
      <c r="R6" s="23">
        <v>0.80679999999999996</v>
      </c>
      <c r="S6" s="22">
        <v>1.4142135623730951E-4</v>
      </c>
      <c r="T6" s="23">
        <f t="shared" si="7"/>
        <v>35.136120488948606</v>
      </c>
      <c r="U6" s="22">
        <f t="shared" si="13"/>
        <v>1.5248587305240842</v>
      </c>
      <c r="V6" s="23">
        <f>SUM($T$2:T6)</f>
        <v>43.78226805785328</v>
      </c>
      <c r="W6" s="22">
        <f>SQRT((U6^2)+(U5^2)+(U4^2)+(U3^2)+(U2^2))</f>
        <v>2.2788913491777558</v>
      </c>
      <c r="X6" s="23">
        <f t="shared" si="14"/>
        <v>0.47246370017472888</v>
      </c>
      <c r="Y6" s="22">
        <f t="shared" si="15"/>
        <v>2.0504099814457999E-2</v>
      </c>
      <c r="Z6" s="22">
        <f t="shared" si="16"/>
        <v>4.2041810920125653E-4</v>
      </c>
      <c r="AA6" s="23">
        <f t="shared" si="8"/>
        <v>124.94999861111864</v>
      </c>
      <c r="AB6" s="26">
        <f t="shared" si="17"/>
        <v>0.99965676578015472</v>
      </c>
      <c r="AC6" s="23">
        <f t="shared" si="18"/>
        <v>0.47262592156419564</v>
      </c>
      <c r="AE6" s="27">
        <v>43300.5</v>
      </c>
    </row>
    <row r="7" spans="1:31" x14ac:dyDescent="0.25">
      <c r="A7" s="17" t="s">
        <v>35</v>
      </c>
      <c r="B7" s="18">
        <v>43305.490277488425</v>
      </c>
      <c r="C7" s="19">
        <v>43305.728472222225</v>
      </c>
      <c r="D7" s="20">
        <v>113.04</v>
      </c>
      <c r="E7" s="21">
        <v>1.74</v>
      </c>
      <c r="F7" s="22">
        <f t="shared" si="9"/>
        <v>1.966896</v>
      </c>
      <c r="G7" s="23">
        <f t="shared" si="0"/>
        <v>106.22</v>
      </c>
      <c r="H7" s="22">
        <f t="shared" si="19"/>
        <v>2.071605453620935</v>
      </c>
      <c r="I7" s="24">
        <f t="shared" si="1"/>
        <v>5.7166736111976206</v>
      </c>
      <c r="J7" s="25">
        <f t="shared" si="10"/>
        <v>1.6666666666666666E-2</v>
      </c>
      <c r="K7" s="23">
        <f t="shared" si="2"/>
        <v>6.249741954962762E-2</v>
      </c>
      <c r="L7" s="22">
        <f t="shared" si="11"/>
        <v>1.8220799891744113E-4</v>
      </c>
      <c r="M7" s="23">
        <f t="shared" si="3"/>
        <v>99.972007503815533</v>
      </c>
      <c r="N7" s="22">
        <f t="shared" si="4"/>
        <v>1.9714157215404036</v>
      </c>
      <c r="O7" s="23">
        <f t="shared" si="5"/>
        <v>6.2479924961844802</v>
      </c>
      <c r="P7" s="22">
        <f t="shared" si="6"/>
        <v>0.12454766323263797</v>
      </c>
      <c r="Q7" s="23">
        <f t="shared" si="12"/>
        <v>106.22000000000001</v>
      </c>
      <c r="R7" s="23">
        <v>0.79510000000000058</v>
      </c>
      <c r="S7" s="22">
        <v>1.4142135623730951E-4</v>
      </c>
      <c r="T7" s="23">
        <f t="shared" si="7"/>
        <v>125.73513709447298</v>
      </c>
      <c r="U7" s="22">
        <f t="shared" si="13"/>
        <v>2.4795571785421702</v>
      </c>
      <c r="V7" s="23">
        <f>SUM($T$2:T7)</f>
        <v>169.51740515232626</v>
      </c>
      <c r="W7" s="22">
        <f>SQRT((U7^2)+(U6^2)+(U5^2)+(U4^2)+(U3^2)+(U2^2))</f>
        <v>3.3677217199491438</v>
      </c>
      <c r="X7" s="23">
        <f t="shared" si="14"/>
        <v>1.6662001250635923</v>
      </c>
      <c r="Y7" s="22">
        <f t="shared" si="15"/>
        <v>3.2856928692340061E-2</v>
      </c>
      <c r="Z7" s="22">
        <f t="shared" si="16"/>
        <v>1.0795777630935195E-3</v>
      </c>
      <c r="AA7" s="23">
        <f t="shared" si="8"/>
        <v>125.48333333339542</v>
      </c>
      <c r="AB7" s="26">
        <f t="shared" si="17"/>
        <v>0.9996553009768282</v>
      </c>
      <c r="AC7" s="23">
        <f t="shared" si="18"/>
        <v>1.6667746606609697</v>
      </c>
    </row>
    <row r="8" spans="1:31" x14ac:dyDescent="0.25">
      <c r="A8" s="17" t="s">
        <v>36</v>
      </c>
      <c r="B8" s="18">
        <v>43305.490416319444</v>
      </c>
      <c r="C8" s="19">
        <v>43305.751388888886</v>
      </c>
      <c r="D8" s="20">
        <v>157.36000000000001</v>
      </c>
      <c r="E8" s="21">
        <v>1.47</v>
      </c>
      <c r="F8" s="22">
        <f t="shared" si="9"/>
        <v>2.3131919999999999</v>
      </c>
      <c r="G8" s="23">
        <f t="shared" si="0"/>
        <v>150.54000000000002</v>
      </c>
      <c r="H8" s="22">
        <f t="shared" si="19"/>
        <v>2.4028579877970317</v>
      </c>
      <c r="I8" s="24">
        <f t="shared" si="1"/>
        <v>6.2633416666067205</v>
      </c>
      <c r="J8" s="25">
        <f t="shared" si="10"/>
        <v>1.6666666666666666E-2</v>
      </c>
      <c r="K8" s="23">
        <f t="shared" si="2"/>
        <v>6.8265268174645843E-2</v>
      </c>
      <c r="L8" s="22">
        <f t="shared" si="11"/>
        <v>1.8165294664402841E-4</v>
      </c>
      <c r="M8" s="23">
        <f t="shared" si="3"/>
        <v>140.9200546763343</v>
      </c>
      <c r="N8" s="22">
        <f t="shared" si="4"/>
        <v>2.2803514663560427</v>
      </c>
      <c r="O8" s="23">
        <f t="shared" si="5"/>
        <v>9.619945323665716</v>
      </c>
      <c r="P8" s="22">
        <f t="shared" si="6"/>
        <v>0.1577595070691398</v>
      </c>
      <c r="Q8" s="23">
        <f t="shared" si="12"/>
        <v>150.54000000000002</v>
      </c>
      <c r="R8" s="23">
        <v>0.81210000000000004</v>
      </c>
      <c r="S8" s="22">
        <v>1.4142135623730951E-4</v>
      </c>
      <c r="T8" s="23">
        <f t="shared" si="7"/>
        <v>173.52549523006317</v>
      </c>
      <c r="U8" s="22">
        <f t="shared" si="13"/>
        <v>2.8081313980976552</v>
      </c>
      <c r="V8" s="23">
        <f>SUM($T$2:T8)</f>
        <v>343.04290038238946</v>
      </c>
      <c r="W8" s="22">
        <f>SQRT((U8^2)+(U7^2)+(U6^2)+(U5^2)+(U4^2)+(U3^2)+(U2^2))</f>
        <v>4.3848775960109894</v>
      </c>
      <c r="X8" s="23">
        <f t="shared" si="14"/>
        <v>2.348667577938905</v>
      </c>
      <c r="Y8" s="22">
        <f t="shared" si="15"/>
        <v>3.8005857772600717E-2</v>
      </c>
      <c r="Z8" s="22">
        <f t="shared" si="16"/>
        <v>1.4444452250311542E-3</v>
      </c>
      <c r="AA8" s="23">
        <f t="shared" si="8"/>
        <v>126.03333333326736</v>
      </c>
      <c r="AB8" s="26">
        <f t="shared" si="17"/>
        <v>0.99965379040458002</v>
      </c>
      <c r="AC8" s="23">
        <f t="shared" si="18"/>
        <v>2.3494809908021774</v>
      </c>
      <c r="AE8" t="s">
        <v>37</v>
      </c>
    </row>
    <row r="9" spans="1:31" x14ac:dyDescent="0.25">
      <c r="A9" s="17" t="s">
        <v>38</v>
      </c>
      <c r="B9" s="18">
        <v>43305.490555150463</v>
      </c>
      <c r="C9" s="19">
        <v>43305.774305439816</v>
      </c>
      <c r="D9" s="20">
        <v>125.05</v>
      </c>
      <c r="E9" s="21">
        <v>1.65</v>
      </c>
      <c r="F9" s="22">
        <f t="shared" si="9"/>
        <v>2.0633249999999999</v>
      </c>
      <c r="G9" s="23">
        <f t="shared" si="0"/>
        <v>118.22999999999999</v>
      </c>
      <c r="H9" s="22">
        <f t="shared" si="19"/>
        <v>2.1633722139939304</v>
      </c>
      <c r="I9" s="24">
        <f t="shared" si="1"/>
        <v>6.810006944462657</v>
      </c>
      <c r="J9" s="25">
        <f t="shared" si="10"/>
        <v>1.6666666666666666E-2</v>
      </c>
      <c r="K9" s="23">
        <f t="shared" si="2"/>
        <v>7.3997601912074717E-2</v>
      </c>
      <c r="L9" s="22">
        <f t="shared" si="11"/>
        <v>1.8110016263699392E-4</v>
      </c>
      <c r="M9" s="23">
        <f t="shared" si="3"/>
        <v>110.08404468456081</v>
      </c>
      <c r="N9" s="22">
        <f t="shared" si="4"/>
        <v>2.0322551240491276</v>
      </c>
      <c r="O9" s="23">
        <f t="shared" si="5"/>
        <v>8.1459553154391759</v>
      </c>
      <c r="P9" s="22">
        <f t="shared" si="6"/>
        <v>0.15169772979729815</v>
      </c>
      <c r="Q9" s="23">
        <f t="shared" si="12"/>
        <v>118.22999999999999</v>
      </c>
      <c r="R9" s="23">
        <v>0.79150000000000009</v>
      </c>
      <c r="S9" s="22">
        <v>1.4142135623730951E-4</v>
      </c>
      <c r="T9" s="23">
        <f t="shared" si="7"/>
        <v>139.08281071959672</v>
      </c>
      <c r="U9" s="22">
        <f t="shared" si="13"/>
        <v>2.5677199075915462</v>
      </c>
      <c r="V9" s="23">
        <f>SUM($T$2:T9)</f>
        <v>482.12571110198621</v>
      </c>
      <c r="W9" s="22">
        <f>SQRT((U9^2)+(U8^2)+(U7^2)+(U6^2)+(U5^2)+(U4^2)+(U3^2)+(U2^2))</f>
        <v>5.0813715723061472</v>
      </c>
      <c r="X9" s="23">
        <f t="shared" si="14"/>
        <v>1.8347340780760135</v>
      </c>
      <c r="Y9" s="22">
        <f t="shared" si="15"/>
        <v>3.3870918734152128E-2</v>
      </c>
      <c r="Z9" s="22">
        <f t="shared" si="16"/>
        <v>1.1472391358955376E-3</v>
      </c>
      <c r="AA9" s="23">
        <f t="shared" si="8"/>
        <v>126.58333055558614</v>
      </c>
      <c r="AB9" s="26">
        <f t="shared" si="17"/>
        <v>0.99965227984224303</v>
      </c>
      <c r="AC9" s="23">
        <f t="shared" si="18"/>
        <v>1.8353722740126759</v>
      </c>
      <c r="AE9">
        <f>LN(2)/252288</f>
        <v>2.7474441137110973E-6</v>
      </c>
    </row>
    <row r="10" spans="1:31" x14ac:dyDescent="0.25">
      <c r="A10" s="17" t="s">
        <v>39</v>
      </c>
      <c r="B10" s="18">
        <v>43305.490693981483</v>
      </c>
      <c r="C10" s="19">
        <v>43305.797222222223</v>
      </c>
      <c r="D10" s="20">
        <v>90.82</v>
      </c>
      <c r="E10" s="21">
        <v>1.94</v>
      </c>
      <c r="F10" s="22">
        <f t="shared" si="9"/>
        <v>1.761908</v>
      </c>
      <c r="G10" s="23">
        <f t="shared" si="0"/>
        <v>84</v>
      </c>
      <c r="H10" s="22">
        <f t="shared" si="19"/>
        <v>1.8780812232488775</v>
      </c>
      <c r="I10" s="24">
        <f t="shared" si="1"/>
        <v>7.3566777777741663</v>
      </c>
      <c r="J10" s="25">
        <f t="shared" si="10"/>
        <v>1.6666666666666666E-2</v>
      </c>
      <c r="K10" s="23">
        <f t="shared" si="2"/>
        <v>7.9694726194053489E-2</v>
      </c>
      <c r="L10" s="22">
        <f t="shared" si="11"/>
        <v>1.8054962806450818E-4</v>
      </c>
      <c r="M10" s="23">
        <f t="shared" si="3"/>
        <v>77.799768732873005</v>
      </c>
      <c r="N10" s="22">
        <f t="shared" si="4"/>
        <v>1.7483628803719591</v>
      </c>
      <c r="O10" s="23">
        <f t="shared" si="5"/>
        <v>6.2002312671269983</v>
      </c>
      <c r="P10" s="22">
        <f t="shared" si="6"/>
        <v>0.14004155254415701</v>
      </c>
      <c r="Q10" s="23">
        <f t="shared" si="12"/>
        <v>84</v>
      </c>
      <c r="R10" s="23">
        <v>0.81820000000000004</v>
      </c>
      <c r="S10" s="22">
        <v>1.4142135623730951E-4</v>
      </c>
      <c r="T10" s="23">
        <f t="shared" si="7"/>
        <v>95.08649319588487</v>
      </c>
      <c r="U10" s="22">
        <f t="shared" si="13"/>
        <v>2.1369036829179366</v>
      </c>
      <c r="V10" s="23">
        <f>SUM($T$2:T10)</f>
        <v>577.21220429787104</v>
      </c>
      <c r="W10" s="22">
        <f>SQRT((U10^2)+(U9^2)+(U8^2)+(U7^2)+(U6^2)+(U5^2)+(U4^2)+(U3^2)+(U2^2))</f>
        <v>5.5124127572152366</v>
      </c>
      <c r="X10" s="23">
        <f t="shared" si="14"/>
        <v>1.29666281221455</v>
      </c>
      <c r="Y10" s="22">
        <f t="shared" si="15"/>
        <v>2.9139381339532651E-2</v>
      </c>
      <c r="Z10" s="22">
        <f t="shared" si="16"/>
        <v>8.4910354485070365E-4</v>
      </c>
      <c r="AA10" s="23">
        <f t="shared" si="8"/>
        <v>127.1333333333605</v>
      </c>
      <c r="AB10" s="26">
        <f t="shared" si="17"/>
        <v>0.99965076926693064</v>
      </c>
      <c r="AC10" s="23">
        <f t="shared" si="18"/>
        <v>1.2971158049179774</v>
      </c>
    </row>
    <row r="11" spans="1:31" x14ac:dyDescent="0.25">
      <c r="A11" s="17" t="s">
        <v>40</v>
      </c>
      <c r="B11" s="18">
        <v>43305.490832812502</v>
      </c>
      <c r="C11" s="19">
        <v>43305.819444444445</v>
      </c>
      <c r="D11" s="20">
        <v>57.25</v>
      </c>
      <c r="E11" s="21">
        <v>2.44</v>
      </c>
      <c r="F11" s="22">
        <f t="shared" si="9"/>
        <v>1.3968999999999998</v>
      </c>
      <c r="G11" s="23">
        <f t="shared" si="0"/>
        <v>50.43</v>
      </c>
      <c r="H11" s="22">
        <f t="shared" si="19"/>
        <v>1.5408435646281551</v>
      </c>
      <c r="I11" s="24">
        <f t="shared" si="1"/>
        <v>7.8866791666368954</v>
      </c>
      <c r="J11" s="25">
        <f t="shared" si="10"/>
        <v>1.6666666666666666E-2</v>
      </c>
      <c r="K11" s="23">
        <f t="shared" si="2"/>
        <v>8.5184663931195725E-2</v>
      </c>
      <c r="L11" s="22">
        <f t="shared" si="11"/>
        <v>1.8001802391800367E-4</v>
      </c>
      <c r="M11" s="23">
        <f t="shared" si="3"/>
        <v>46.471353379904961</v>
      </c>
      <c r="N11" s="22">
        <f t="shared" si="4"/>
        <v>1.4232828170787126</v>
      </c>
      <c r="O11" s="23">
        <f t="shared" si="5"/>
        <v>3.9586466200950405</v>
      </c>
      <c r="P11" s="22">
        <f t="shared" si="6"/>
        <v>0.12153014147822688</v>
      </c>
      <c r="Q11" s="23">
        <f t="shared" si="12"/>
        <v>50.43</v>
      </c>
      <c r="R11" s="23">
        <v>0.8158000000000003</v>
      </c>
      <c r="S11" s="22">
        <v>1.4142135623730951E-4</v>
      </c>
      <c r="T11" s="23">
        <f t="shared" si="7"/>
        <v>56.964149766983262</v>
      </c>
      <c r="U11" s="22">
        <f t="shared" si="13"/>
        <v>1.7446746944084708</v>
      </c>
      <c r="V11" s="23">
        <f>SUM($T$2:T11)</f>
        <v>634.17635406485431</v>
      </c>
      <c r="W11" s="22">
        <f>SQRT((U11^2)+(U10^2)+(U9^2)+(U8^2)+(U7^2)+(U6^2)+(U5^2)+(U4^2)+(U3^2)+(U2^2))</f>
        <v>5.7819187295584316</v>
      </c>
      <c r="X11" s="23">
        <f t="shared" si="14"/>
        <v>0.77452255633174938</v>
      </c>
      <c r="Y11" s="22">
        <f t="shared" si="15"/>
        <v>2.3721380284645214E-2</v>
      </c>
      <c r="Z11" s="22">
        <f t="shared" si="16"/>
        <v>5.6270388260875465E-4</v>
      </c>
      <c r="AA11" s="23">
        <f t="shared" si="8"/>
        <v>127.66666666668607</v>
      </c>
      <c r="AB11" s="26">
        <f t="shared" si="17"/>
        <v>0.99964930447620548</v>
      </c>
      <c r="AC11" s="23">
        <f t="shared" si="18"/>
        <v>0.77479427321522754</v>
      </c>
    </row>
    <row r="12" spans="1:31" x14ac:dyDescent="0.25">
      <c r="A12" s="17" t="s">
        <v>41</v>
      </c>
      <c r="B12" s="18">
        <v>43305.490971643521</v>
      </c>
      <c r="C12" s="19">
        <v>43305.842361111114</v>
      </c>
      <c r="D12" s="20">
        <v>38.93</v>
      </c>
      <c r="E12" s="21">
        <v>2.96</v>
      </c>
      <c r="F12" s="22">
        <f t="shared" si="9"/>
        <v>1.152328</v>
      </c>
      <c r="G12" s="23">
        <f t="shared" si="0"/>
        <v>32.11</v>
      </c>
      <c r="H12" s="22">
        <f t="shared" si="19"/>
        <v>1.3231512008232469</v>
      </c>
      <c r="I12" s="24">
        <f t="shared" si="1"/>
        <v>8.4333472222206183</v>
      </c>
      <c r="J12" s="25">
        <f t="shared" si="10"/>
        <v>1.6666666666666666E-2</v>
      </c>
      <c r="K12" s="23">
        <f t="shared" si="2"/>
        <v>9.08129325781315E-2</v>
      </c>
      <c r="L12" s="22">
        <f t="shared" si="11"/>
        <v>1.7947190319808192E-4</v>
      </c>
      <c r="M12" s="23">
        <f t="shared" si="3"/>
        <v>29.43676137402236</v>
      </c>
      <c r="N12" s="22">
        <f t="shared" si="4"/>
        <v>1.2143897647038355</v>
      </c>
      <c r="O12" s="23">
        <f t="shared" si="5"/>
        <v>2.6732386259776382</v>
      </c>
      <c r="P12" s="22">
        <f t="shared" si="6"/>
        <v>0.11040876603771883</v>
      </c>
      <c r="Q12" s="23">
        <f t="shared" si="12"/>
        <v>32.11</v>
      </c>
      <c r="R12" s="23">
        <v>0.79240000000000066</v>
      </c>
      <c r="S12" s="22">
        <v>1.4142135623730951E-4</v>
      </c>
      <c r="T12" s="23">
        <f t="shared" si="7"/>
        <v>37.148865943995879</v>
      </c>
      <c r="U12" s="22">
        <f t="shared" si="13"/>
        <v>1.5325607378820068</v>
      </c>
      <c r="V12" s="23">
        <f>SUM($T$2:T12)</f>
        <v>671.32522000885024</v>
      </c>
      <c r="W12" s="22">
        <f>SQRT((U12^2)+(U11^2)+(U10^2)+(U9^2)+(U8^2)+(U7^2)+(U6^2)+(U5^2)+(U4^2)+(U3^2)+(U2^2))</f>
        <v>5.9815822831852801</v>
      </c>
      <c r="X12" s="23">
        <f t="shared" si="14"/>
        <v>0.49061268956703935</v>
      </c>
      <c r="Y12" s="22">
        <f t="shared" si="15"/>
        <v>2.0239829411730591E-2</v>
      </c>
      <c r="Z12" s="22">
        <f t="shared" si="16"/>
        <v>4.0965069461595472E-4</v>
      </c>
      <c r="AA12" s="23">
        <f t="shared" si="8"/>
        <v>128.21666666673264</v>
      </c>
      <c r="AB12" s="26">
        <f t="shared" si="17"/>
        <v>0.99964779391301817</v>
      </c>
      <c r="AC12" s="23">
        <f t="shared" si="18"/>
        <v>0.49078554722417439</v>
      </c>
    </row>
    <row r="13" spans="1:31" x14ac:dyDescent="0.25">
      <c r="A13" s="17" t="s">
        <v>42</v>
      </c>
      <c r="B13" s="18">
        <v>43305.491110474541</v>
      </c>
      <c r="C13" s="19">
        <v>43305.865277777775</v>
      </c>
      <c r="D13" s="20">
        <v>32.409999999999997</v>
      </c>
      <c r="E13" s="21">
        <v>3.24</v>
      </c>
      <c r="F13" s="22">
        <f t="shared" si="9"/>
        <v>1.050084</v>
      </c>
      <c r="G13" s="23">
        <f t="shared" si="0"/>
        <v>25.589999999999996</v>
      </c>
      <c r="H13" s="22">
        <f t="shared" si="19"/>
        <v>1.2351298262579526</v>
      </c>
      <c r="I13" s="24">
        <f t="shared" si="1"/>
        <v>8.9800152776297182</v>
      </c>
      <c r="J13" s="25">
        <f t="shared" si="10"/>
        <v>1.6666666666666666E-2</v>
      </c>
      <c r="K13" s="23">
        <f t="shared" si="2"/>
        <v>9.6406574116903898E-2</v>
      </c>
      <c r="L13" s="22">
        <f t="shared" si="11"/>
        <v>1.789280068692535E-4</v>
      </c>
      <c r="M13" s="23">
        <f t="shared" si="3"/>
        <v>23.339881941707034</v>
      </c>
      <c r="N13" s="22">
        <f t="shared" si="4"/>
        <v>1.1273579221754089</v>
      </c>
      <c r="O13" s="23">
        <f t="shared" si="5"/>
        <v>2.2501180582929661</v>
      </c>
      <c r="P13" s="22">
        <f t="shared" si="6"/>
        <v>0.10876491894178821</v>
      </c>
      <c r="Q13" s="23">
        <f t="shared" si="12"/>
        <v>25.59</v>
      </c>
      <c r="R13" s="23">
        <v>0.81899999999999995</v>
      </c>
      <c r="S13" s="22">
        <v>1.4142135623730951E-4</v>
      </c>
      <c r="T13" s="23">
        <f t="shared" si="7"/>
        <v>28.498024348848638</v>
      </c>
      <c r="U13" s="22">
        <f t="shared" si="13"/>
        <v>1.3765141954243638</v>
      </c>
      <c r="V13" s="23">
        <f>SUM($T$2:T13)</f>
        <v>699.82324435769885</v>
      </c>
      <c r="W13" s="22">
        <f>SQRT((U13^2)+(U12^2)+(U11^2)+(U10^2)+(U9^2)+(U8^2)+(U7^2)+(U6^2)+(U5^2)+(U4^2)+(U3^2)+(U2^2))</f>
        <v>6.1379245629708432</v>
      </c>
      <c r="X13" s="23">
        <f t="shared" si="14"/>
        <v>0.38899803236178393</v>
      </c>
      <c r="Y13" s="22">
        <f t="shared" si="15"/>
        <v>1.8789298702923483E-2</v>
      </c>
      <c r="Z13" s="22">
        <f t="shared" si="16"/>
        <v>3.5303774574768209E-4</v>
      </c>
      <c r="AA13" s="23">
        <f t="shared" si="8"/>
        <v>128.76666666660458</v>
      </c>
      <c r="AB13" s="26">
        <f t="shared" si="17"/>
        <v>0.99964628335211381</v>
      </c>
      <c r="AC13" s="23">
        <f t="shared" si="18"/>
        <v>0.38913567612871713</v>
      </c>
    </row>
    <row r="14" spans="1:31" x14ac:dyDescent="0.25">
      <c r="A14" s="17" t="s">
        <v>43</v>
      </c>
      <c r="B14" s="18">
        <v>43305.491249305553</v>
      </c>
      <c r="C14" s="19">
        <v>43305.888194444444</v>
      </c>
      <c r="D14" s="20">
        <v>24.63</v>
      </c>
      <c r="E14" s="21">
        <v>3.72</v>
      </c>
      <c r="F14" s="22">
        <f t="shared" si="9"/>
        <v>0.91623600000000005</v>
      </c>
      <c r="G14" s="23">
        <f t="shared" si="0"/>
        <v>17.809999999999999</v>
      </c>
      <c r="H14" s="22">
        <f t="shared" si="19"/>
        <v>1.1235469230753117</v>
      </c>
      <c r="I14" s="24">
        <f t="shared" si="1"/>
        <v>9.5266833333880641</v>
      </c>
      <c r="J14" s="25">
        <f t="shared" si="10"/>
        <v>1.6666666666666666E-2</v>
      </c>
      <c r="K14" s="23">
        <f t="shared" si="2"/>
        <v>0.10196580159110558</v>
      </c>
      <c r="L14" s="22">
        <f t="shared" si="11"/>
        <v>1.783863247099284E-4</v>
      </c>
      <c r="M14" s="23">
        <f t="shared" si="3"/>
        <v>16.162026057691183</v>
      </c>
      <c r="N14" s="22">
        <f t="shared" si="4"/>
        <v>1.0199761872349904</v>
      </c>
      <c r="O14" s="23">
        <f t="shared" si="5"/>
        <v>1.6479739423088173</v>
      </c>
      <c r="P14" s="22">
        <f t="shared" si="6"/>
        <v>0.10404264321126895</v>
      </c>
      <c r="Q14" s="23">
        <f t="shared" si="12"/>
        <v>17.809999999999999</v>
      </c>
      <c r="R14" s="23">
        <v>0.80399999999999938</v>
      </c>
      <c r="S14" s="22">
        <v>1.4142135623730951E-4</v>
      </c>
      <c r="T14" s="23">
        <f t="shared" si="7"/>
        <v>20.102022459814918</v>
      </c>
      <c r="U14" s="22">
        <f t="shared" si="13"/>
        <v>1.2686320261184927</v>
      </c>
      <c r="V14" s="23">
        <f>SUM($T$2:T14)</f>
        <v>719.92526681751383</v>
      </c>
      <c r="W14" s="22">
        <f>SQRT((U14^2)+(U13^2)+(U12^2)+(U11^2)+(U10^2)+(U9^2)+(U8^2)+(U7^2)+(U6^2)+(U5^2)+(U4^2)+(U3^2)+(U2^2))</f>
        <v>6.2676586663932428</v>
      </c>
      <c r="X14" s="23">
        <f t="shared" si="14"/>
        <v>0.26936710096151972</v>
      </c>
      <c r="Y14" s="22">
        <f t="shared" si="15"/>
        <v>1.6999603120583174E-2</v>
      </c>
      <c r="Z14" s="22">
        <f t="shared" si="16"/>
        <v>2.889865062573412E-4</v>
      </c>
      <c r="AA14" s="23">
        <f t="shared" si="8"/>
        <v>129.31666666665114</v>
      </c>
      <c r="AB14" s="26">
        <f t="shared" si="17"/>
        <v>0.99964477279349173</v>
      </c>
      <c r="AC14" s="23">
        <f t="shared" si="18"/>
        <v>0.26946282148685435</v>
      </c>
    </row>
    <row r="15" spans="1:31" x14ac:dyDescent="0.25">
      <c r="A15" s="17" t="s">
        <v>44</v>
      </c>
      <c r="B15" s="18">
        <v>43305.491388136572</v>
      </c>
      <c r="C15" s="19">
        <v>43305.911111111112</v>
      </c>
      <c r="D15" s="20">
        <v>17.64</v>
      </c>
      <c r="E15" s="21">
        <v>4.4000000000000004</v>
      </c>
      <c r="F15" s="22">
        <f t="shared" si="9"/>
        <v>0.77616000000000007</v>
      </c>
      <c r="G15" s="23">
        <f t="shared" si="0"/>
        <v>10.82</v>
      </c>
      <c r="H15" s="22">
        <f t="shared" si="19"/>
        <v>1.0125678378538399</v>
      </c>
      <c r="I15" s="24">
        <f t="shared" si="1"/>
        <v>10.073351388971787</v>
      </c>
      <c r="J15" s="25">
        <f t="shared" si="10"/>
        <v>1.6666666666666666E-2</v>
      </c>
      <c r="K15" s="23">
        <f t="shared" si="2"/>
        <v>0.1074908267229544</v>
      </c>
      <c r="L15" s="22">
        <f t="shared" si="11"/>
        <v>1.7784684654972323E-4</v>
      </c>
      <c r="M15" s="23">
        <f t="shared" si="3"/>
        <v>9.7698326152426809</v>
      </c>
      <c r="N15" s="22">
        <f t="shared" si="4"/>
        <v>0.91443292650003261</v>
      </c>
      <c r="O15" s="23">
        <f t="shared" si="5"/>
        <v>1.0501673847573194</v>
      </c>
      <c r="P15" s="22">
        <f t="shared" si="6"/>
        <v>9.8308507298268177E-2</v>
      </c>
      <c r="Q15" s="23">
        <f t="shared" si="12"/>
        <v>10.82</v>
      </c>
      <c r="R15" s="23">
        <v>0.81740000000000013</v>
      </c>
      <c r="S15" s="22">
        <v>1.4142135623730951E-4</v>
      </c>
      <c r="T15" s="23">
        <f t="shared" si="7"/>
        <v>11.952327642821972</v>
      </c>
      <c r="U15" s="22">
        <f t="shared" si="13"/>
        <v>1.1187111435747696</v>
      </c>
      <c r="V15" s="23">
        <f>SUM($T$2:T15)</f>
        <v>731.87759446033579</v>
      </c>
      <c r="W15" s="22">
        <f>SQRT((U15^2)+(U14^2)+(U13^2)+(U12^2)+(U11^2)+(U10^2)+(U9^2)+(U8^2)+(U7^2)+(U6^2)+(U5^2)+(U4^2)+(U3^2)+(U2^2))</f>
        <v>6.3667149913572141</v>
      </c>
      <c r="X15" s="23">
        <f t="shared" si="14"/>
        <v>0.162830543587378</v>
      </c>
      <c r="Y15" s="22">
        <f t="shared" si="15"/>
        <v>1.5240548775000543E-2</v>
      </c>
      <c r="Z15" s="22">
        <f t="shared" si="16"/>
        <v>2.3227432696317055E-4</v>
      </c>
      <c r="AA15" s="23">
        <f t="shared" si="8"/>
        <v>129.86666666669771</v>
      </c>
      <c r="AB15" s="26">
        <f t="shared" si="17"/>
        <v>0.99964326223715205</v>
      </c>
      <c r="AC15" s="23">
        <f t="shared" si="18"/>
        <v>0.16288865212072887</v>
      </c>
    </row>
    <row r="16" spans="1:31" x14ac:dyDescent="0.25">
      <c r="A16" s="17" t="s">
        <v>45</v>
      </c>
      <c r="B16" s="18">
        <v>43305.491526967591</v>
      </c>
      <c r="C16" s="19">
        <v>43305.933333333334</v>
      </c>
      <c r="D16" s="20">
        <v>14.09</v>
      </c>
      <c r="E16" s="21">
        <v>4.92</v>
      </c>
      <c r="F16" s="22">
        <f t="shared" si="9"/>
        <v>0.69322799999999996</v>
      </c>
      <c r="G16" s="23">
        <f t="shared" si="0"/>
        <v>7.27</v>
      </c>
      <c r="H16" s="22">
        <f t="shared" si="19"/>
        <v>0.95049163102049461</v>
      </c>
      <c r="I16" s="24">
        <f t="shared" si="1"/>
        <v>10.603352777834516</v>
      </c>
      <c r="J16" s="25">
        <f t="shared" si="10"/>
        <v>1.6666666666666666E-2</v>
      </c>
      <c r="K16" s="23">
        <f t="shared" si="2"/>
        <v>0.11281495115272755</v>
      </c>
      <c r="L16" s="22">
        <f t="shared" si="11"/>
        <v>1.7732591051853968E-4</v>
      </c>
      <c r="M16" s="23">
        <f t="shared" si="3"/>
        <v>6.5329819593718179</v>
      </c>
      <c r="N16" s="22">
        <f t="shared" si="4"/>
        <v>0.85419441824847253</v>
      </c>
      <c r="O16" s="23">
        <f t="shared" si="5"/>
        <v>0.73701804062818199</v>
      </c>
      <c r="P16" s="22">
        <f t="shared" si="6"/>
        <v>9.6372864599217123E-2</v>
      </c>
      <c r="Q16" s="23">
        <f t="shared" si="12"/>
        <v>7.27</v>
      </c>
      <c r="R16" s="23">
        <v>0.79819999999999958</v>
      </c>
      <c r="S16" s="22">
        <v>1.4142135623730951E-4</v>
      </c>
      <c r="T16" s="23">
        <f t="shared" si="7"/>
        <v>8.1846428957301693</v>
      </c>
      <c r="U16" s="22">
        <f t="shared" si="13"/>
        <v>1.0701518447467187</v>
      </c>
      <c r="V16" s="23">
        <f>SUM($T$2:T16)</f>
        <v>740.06223735606591</v>
      </c>
      <c r="W16" s="22">
        <f>SQRT((U16^2)+(U15^2)+(U14^2)+(U13^2)+(U12^2)+(U11^2)+(U10^2)+(U9^2)+(U8^2)+(U7^2)+(U6^2)+(U5^2)+(U4^2)+(U3^2)+(U2^2))</f>
        <v>6.4560270098557906</v>
      </c>
      <c r="X16" s="23">
        <f t="shared" si="14"/>
        <v>0.10888303265619696</v>
      </c>
      <c r="Y16" s="22">
        <f t="shared" si="15"/>
        <v>1.4236573637474543E-2</v>
      </c>
      <c r="Z16" s="22">
        <f t="shared" si="16"/>
        <v>2.0268002893523513E-4</v>
      </c>
      <c r="AA16" s="23">
        <f t="shared" si="8"/>
        <v>130.40000000002328</v>
      </c>
      <c r="AB16" s="26">
        <f t="shared" si="17"/>
        <v>0.99964179745742709</v>
      </c>
      <c r="AC16" s="23">
        <f t="shared" si="18"/>
        <v>0.10892204881102333</v>
      </c>
    </row>
    <row r="17" spans="1:29" x14ac:dyDescent="0.25">
      <c r="A17" s="17" t="s">
        <v>46</v>
      </c>
      <c r="B17" s="18">
        <v>43305.49166579861</v>
      </c>
      <c r="C17" s="19">
        <v>43305.956944444442</v>
      </c>
      <c r="D17" s="20">
        <v>12.41</v>
      </c>
      <c r="E17" s="21">
        <v>5.24</v>
      </c>
      <c r="F17" s="22">
        <f t="shared" si="9"/>
        <v>0.65028400000000008</v>
      </c>
      <c r="G17" s="23">
        <f t="shared" si="0"/>
        <v>5.59</v>
      </c>
      <c r="H17" s="22">
        <f t="shared" si="19"/>
        <v>0.91964045219422585</v>
      </c>
      <c r="I17" s="24">
        <f t="shared" si="1"/>
        <v>11.16668749996461</v>
      </c>
      <c r="J17" s="25">
        <f t="shared" si="10"/>
        <v>1.6666666666666666E-2</v>
      </c>
      <c r="K17" s="23">
        <f t="shared" si="2"/>
        <v>0.1184391103683462</v>
      </c>
      <c r="L17" s="22">
        <f t="shared" si="11"/>
        <v>1.7677446179200645E-4</v>
      </c>
      <c r="M17" s="23">
        <f t="shared" si="3"/>
        <v>4.9980369500481716</v>
      </c>
      <c r="N17" s="22">
        <f t="shared" si="4"/>
        <v>0.82228731923642373</v>
      </c>
      <c r="O17" s="23">
        <f t="shared" si="5"/>
        <v>0.5919630499518278</v>
      </c>
      <c r="P17" s="22">
        <f t="shared" si="6"/>
        <v>9.7394986120105123E-2</v>
      </c>
      <c r="Q17" s="23">
        <f t="shared" si="12"/>
        <v>5.59</v>
      </c>
      <c r="R17" s="23">
        <v>0.80719999999999992</v>
      </c>
      <c r="S17" s="22">
        <v>1.4142135623731E-4</v>
      </c>
      <c r="T17" s="23">
        <f t="shared" si="7"/>
        <v>6.1918198092767245</v>
      </c>
      <c r="U17" s="22">
        <f t="shared" si="13"/>
        <v>1.0186915082755752</v>
      </c>
      <c r="V17" s="23">
        <f>SUM($T$2:T17)</f>
        <v>746.2540571653426</v>
      </c>
      <c r="W17" s="22">
        <f>SQRT((U17^2)+(U16^2)+(U15^2)+(U14^2)+(U13^2)+(U12^2)+(U11^2)+(U10^2)+(U9^2)+(U8^2)+(U7^2)+(U6^2)+(U5^2)+(U4^2)+(U3^2)+(U2^2))</f>
        <v>6.535902167338512</v>
      </c>
      <c r="X17" s="23">
        <f t="shared" si="14"/>
        <v>8.3300615834136199E-2</v>
      </c>
      <c r="Y17" s="22">
        <f>X17*SQRT(((N17/M17)^2))</f>
        <v>1.3704788653940397E-2</v>
      </c>
      <c r="Z17" s="22">
        <f>Y17^2</f>
        <v>1.8782123204917346E-4</v>
      </c>
      <c r="AA17" s="23">
        <f t="shared" si="8"/>
        <v>130.96666666661622</v>
      </c>
      <c r="AB17" s="26">
        <f t="shared" si="17"/>
        <v>0.99964024113132122</v>
      </c>
      <c r="AC17" s="23">
        <f t="shared" si="18"/>
        <v>8.3330594754631462E-2</v>
      </c>
    </row>
    <row r="18" spans="1:29" x14ac:dyDescent="0.25">
      <c r="A18" s="17" t="s">
        <v>47</v>
      </c>
      <c r="B18" s="18">
        <v>43305.49180462963</v>
      </c>
      <c r="C18" s="19">
        <v>43305.979861111111</v>
      </c>
      <c r="D18" s="20">
        <v>10.37</v>
      </c>
      <c r="E18" s="21">
        <v>5.74</v>
      </c>
      <c r="F18" s="22">
        <f>D18*(E18/100)</f>
        <v>0.59523799999999993</v>
      </c>
      <c r="G18" s="23">
        <f t="shared" si="0"/>
        <v>3.5499999999999989</v>
      </c>
      <c r="H18" s="22">
        <f>SQRT((F18^2)+(F$17^2))</f>
        <v>0.88157674498593719</v>
      </c>
      <c r="I18" s="24">
        <f t="shared" si="1"/>
        <v>11.713355555548333</v>
      </c>
      <c r="J18" s="25">
        <f t="shared" si="10"/>
        <v>1.6666666666666666E-2</v>
      </c>
      <c r="K18" s="23">
        <f t="shared" si="2"/>
        <v>0.12386278585765342</v>
      </c>
      <c r="L18" s="22">
        <f t="shared" si="11"/>
        <v>1.7624153510104772E-4</v>
      </c>
      <c r="M18" s="23">
        <f t="shared" si="3"/>
        <v>3.1587485987365325</v>
      </c>
      <c r="N18" s="22">
        <f t="shared" si="4"/>
        <v>0.78442958255853978</v>
      </c>
      <c r="O18" s="23">
        <f t="shared" si="5"/>
        <v>0.39125140126346591</v>
      </c>
      <c r="P18" s="22">
        <f t="shared" si="6"/>
        <v>9.7163228249159447E-2</v>
      </c>
      <c r="Q18" s="23">
        <f t="shared" si="12"/>
        <v>3.5499999999999985</v>
      </c>
      <c r="R18" s="23">
        <v>0.79530000000000012</v>
      </c>
      <c r="S18" s="22">
        <v>1.4142135623731E-4</v>
      </c>
      <c r="T18" s="23">
        <f t="shared" si="7"/>
        <v>3.9717698965629724</v>
      </c>
      <c r="U18" s="22">
        <f t="shared" si="13"/>
        <v>0.98633192966113181</v>
      </c>
      <c r="V18" s="23">
        <f>SUM($T$2:T18)</f>
        <v>750.22582706190553</v>
      </c>
      <c r="W18" s="22">
        <f>SQRT((U18^2)+(U17^2)+(U16^2)+(U15^2)+(U14^2)+(U13^2)+(U12^2)+(U11^2)+(U10^2)+(U9^2)+(U8^2)+(U7^2)+(U6^2)+(U5^2)+(U4^2)+(U3^2)+(U2^2))</f>
        <v>6.6099067933284292</v>
      </c>
      <c r="X18" s="23">
        <f t="shared" si="14"/>
        <v>5.2645809978942207E-2</v>
      </c>
      <c r="Y18" s="22">
        <f t="shared" ref="Y18:Y22" si="20">X18*SQRT(((N18/M18)^2))</f>
        <v>1.3073826375975662E-2</v>
      </c>
      <c r="Z18" s="22">
        <f t="shared" ref="Z18:Z22" si="21">Y18^2</f>
        <v>1.7092493610915691E-4</v>
      </c>
      <c r="AA18" s="23">
        <f t="shared" si="8"/>
        <v>131.51666666666279</v>
      </c>
      <c r="AB18" s="26">
        <f t="shared" si="17"/>
        <v>0.99963873058182939</v>
      </c>
      <c r="AC18" s="23">
        <f t="shared" si="18"/>
        <v>5.2664836173664714E-2</v>
      </c>
    </row>
    <row r="19" spans="1:29" x14ac:dyDescent="0.25">
      <c r="A19" s="17" t="s">
        <v>48</v>
      </c>
      <c r="B19" s="18">
        <v>43305.491943460649</v>
      </c>
      <c r="C19" s="19">
        <v>43306.002083333333</v>
      </c>
      <c r="D19" s="20">
        <v>8.83</v>
      </c>
      <c r="E19" s="21">
        <v>6.21</v>
      </c>
      <c r="F19" s="22">
        <f t="shared" si="9"/>
        <v>0.54834300000000002</v>
      </c>
      <c r="G19" s="23">
        <f t="shared" si="0"/>
        <v>2.0099999999999998</v>
      </c>
      <c r="H19" s="22">
        <f>SQRT((F19^2)+(F$17^2))</f>
        <v>0.85061702681347739</v>
      </c>
      <c r="I19" s="24">
        <f t="shared" si="1"/>
        <v>12.243356944411062</v>
      </c>
      <c r="J19" s="25">
        <f t="shared" si="10"/>
        <v>1.6666666666666666E-2</v>
      </c>
      <c r="K19" s="23">
        <f t="shared" si="2"/>
        <v>0.12908924591578508</v>
      </c>
      <c r="L19" s="22">
        <f t="shared" si="11"/>
        <v>1.7572692209319912E-4</v>
      </c>
      <c r="M19" s="23">
        <f t="shared" si="3"/>
        <v>1.7801958589816547</v>
      </c>
      <c r="N19" s="22">
        <f t="shared" si="4"/>
        <v>0.75336952380601863</v>
      </c>
      <c r="O19" s="23">
        <f t="shared" si="5"/>
        <v>0.22980414101834507</v>
      </c>
      <c r="P19" s="22">
        <f t="shared" si="6"/>
        <v>9.7252406857219614E-2</v>
      </c>
      <c r="Q19" s="23">
        <f t="shared" si="12"/>
        <v>2.0099999999999998</v>
      </c>
      <c r="R19" s="23">
        <v>0.81289999999999996</v>
      </c>
      <c r="S19" s="22">
        <v>1.4142135623731E-4</v>
      </c>
      <c r="T19" s="23">
        <f t="shared" si="7"/>
        <v>2.1899321675257162</v>
      </c>
      <c r="U19" s="22">
        <f t="shared" si="13"/>
        <v>0.92676785270520134</v>
      </c>
      <c r="V19" s="23">
        <f>SUM($T$2:T19)</f>
        <v>752.41575922943127</v>
      </c>
      <c r="W19" s="22">
        <f>SQRT((U19^2)+(U18^2)+(U17^2)+(U16^2)+(U15^2)+(U14^2)+(U13^2)+(U12^2)+(U11^2)+(U10^2)+(U9^2)+(U8^2)+(U7^2)+(U6^2)+(U5^2)+(U4^2)+(U3^2)+(U2^2))</f>
        <v>6.6745611443223085</v>
      </c>
      <c r="X19" s="23">
        <f t="shared" si="14"/>
        <v>2.9669930983027577E-2</v>
      </c>
      <c r="Y19" s="22">
        <f t="shared" si="20"/>
        <v>1.255615873010031E-2</v>
      </c>
      <c r="Z19" s="22">
        <f t="shared" si="21"/>
        <v>1.5765712205547422E-4</v>
      </c>
      <c r="AA19" s="23">
        <f t="shared" si="8"/>
        <v>132.04999999998836</v>
      </c>
      <c r="AB19" s="26">
        <f t="shared" si="17"/>
        <v>0.99963726580874457</v>
      </c>
      <c r="AC19" s="23">
        <f t="shared" si="18"/>
        <v>2.9680697186717498E-2</v>
      </c>
    </row>
    <row r="20" spans="1:29" x14ac:dyDescent="0.25">
      <c r="A20" s="17" t="s">
        <v>49</v>
      </c>
      <c r="B20" s="18">
        <v>43305.492082291668</v>
      </c>
      <c r="C20" s="19">
        <v>43306.025000000001</v>
      </c>
      <c r="D20" s="20">
        <v>9.14</v>
      </c>
      <c r="E20" s="21">
        <v>6.11</v>
      </c>
      <c r="F20" s="22">
        <f t="shared" si="9"/>
        <v>0.55845400000000001</v>
      </c>
      <c r="G20" s="23">
        <f t="shared" si="0"/>
        <v>2.3200000000000003</v>
      </c>
      <c r="H20" s="22">
        <f t="shared" ref="H20:H22" si="22">SQRT((F20^2)+(F$17^2))</f>
        <v>0.85716984943008823</v>
      </c>
      <c r="I20" s="24">
        <f t="shared" si="1"/>
        <v>12.790024999994785</v>
      </c>
      <c r="J20" s="25">
        <f t="shared" si="10"/>
        <v>1.6666666666666666E-2</v>
      </c>
      <c r="K20" s="23">
        <f t="shared" si="2"/>
        <v>0.13444739799110483</v>
      </c>
      <c r="L20" s="22">
        <f t="shared" si="11"/>
        <v>1.7519824758116794E-4</v>
      </c>
      <c r="M20" s="23">
        <f t="shared" si="3"/>
        <v>2.0450485444351925</v>
      </c>
      <c r="N20" s="22">
        <f t="shared" si="4"/>
        <v>0.75558829985395148</v>
      </c>
      <c r="O20" s="23">
        <f t="shared" si="5"/>
        <v>0.27495145556480793</v>
      </c>
      <c r="P20" s="22">
        <f t="shared" si="6"/>
        <v>0.10158751269431304</v>
      </c>
      <c r="Q20" s="23">
        <f t="shared" si="12"/>
        <v>2.3200000000000003</v>
      </c>
      <c r="R20" s="23">
        <v>0.79030000000000022</v>
      </c>
      <c r="S20" s="22">
        <v>1.4142135623731E-4</v>
      </c>
      <c r="T20" s="23">
        <f t="shared" si="7"/>
        <v>2.5876863778757331</v>
      </c>
      <c r="U20" s="22">
        <f t="shared" si="13"/>
        <v>0.95607793050137091</v>
      </c>
      <c r="V20" s="23">
        <f>SUM($T$2:T20)</f>
        <v>755.00344560730696</v>
      </c>
      <c r="W20" s="22">
        <f>SQRT((U20^2)+(U19^2)+(U18^2)+(U17^2)+(U16^2)+(U15^2)+(U14^2)+(U13^2)+(U12^2)+(U11^2)+(U10^2)+(U9^2)+(U8^2)+(U7^2)+(U6^2)+(U5^2)+(U4^2)+(U3^2)+(U2^2))</f>
        <v>6.7426887425187374</v>
      </c>
      <c r="X20" s="23">
        <f t="shared" si="14"/>
        <v>3.4084142407253208E-2</v>
      </c>
      <c r="Y20" s="22">
        <f t="shared" si="20"/>
        <v>1.259313833089919E-2</v>
      </c>
      <c r="Z20" s="22">
        <f t="shared" si="21"/>
        <v>1.5858713302116244E-4</v>
      </c>
      <c r="AA20" s="23">
        <f t="shared" si="8"/>
        <v>132.60000000003492</v>
      </c>
      <c r="AB20" s="26">
        <f t="shared" si="17"/>
        <v>0.99963575526374882</v>
      </c>
      <c r="AC20" s="23">
        <f t="shared" si="18"/>
        <v>3.4096561900449712E-2</v>
      </c>
    </row>
    <row r="21" spans="1:29" x14ac:dyDescent="0.25">
      <c r="A21" s="17" t="s">
        <v>50</v>
      </c>
      <c r="B21" s="18">
        <v>43305.492221122688</v>
      </c>
      <c r="C21" s="19">
        <v>43306.04791666667</v>
      </c>
      <c r="D21" s="20">
        <v>8.9700000000000006</v>
      </c>
      <c r="E21" s="21">
        <v>6.17</v>
      </c>
      <c r="F21" s="22">
        <f t="shared" si="9"/>
        <v>0.55344899999999997</v>
      </c>
      <c r="G21" s="23">
        <f t="shared" si="0"/>
        <v>2.1500000000000004</v>
      </c>
      <c r="H21" s="22">
        <f t="shared" si="22"/>
        <v>0.85391748796766076</v>
      </c>
      <c r="I21" s="24">
        <f t="shared" si="1"/>
        <v>13.336693055578507</v>
      </c>
      <c r="J21" s="25">
        <f t="shared" si="10"/>
        <v>1.6666666666666666E-2</v>
      </c>
      <c r="K21" s="23">
        <f t="shared" si="2"/>
        <v>0.13977258481306476</v>
      </c>
      <c r="L21" s="22">
        <f t="shared" si="11"/>
        <v>1.7467171738224404E-4</v>
      </c>
      <c r="M21" s="23">
        <f t="shared" si="3"/>
        <v>1.8863412128417036</v>
      </c>
      <c r="N21" s="22">
        <f t="shared" si="4"/>
        <v>0.74920359230856581</v>
      </c>
      <c r="O21" s="23">
        <f t="shared" si="5"/>
        <v>0.26365878715829649</v>
      </c>
      <c r="P21" s="22">
        <f t="shared" si="6"/>
        <v>0.10471864100973882</v>
      </c>
      <c r="Q21" s="23">
        <f t="shared" si="12"/>
        <v>2.1500000000000004</v>
      </c>
      <c r="R21" s="23">
        <v>0.81120000000000037</v>
      </c>
      <c r="S21" s="22">
        <v>1.4142135623731E-4</v>
      </c>
      <c r="T21" s="23">
        <f t="shared" si="7"/>
        <v>2.3253713176056494</v>
      </c>
      <c r="U21" s="22">
        <f t="shared" si="13"/>
        <v>0.92357453708484483</v>
      </c>
      <c r="V21" s="23">
        <f>SUM($T$2:T21)</f>
        <v>757.32881692491264</v>
      </c>
      <c r="W21" s="22">
        <f>SQRT((U21^2)+(U20^2)+(U19^2)+(U18^2)+(U17^2)+(U16^2)+(U15^2)+(U14^2)+(U13^2)+(U12^2)+(U11^2)+(U10^2)+(U9^2)+(U8^2)+(U7^2)+(U6^2)+(U5^2)+(U4^2)+(U3^2)+(U2^2))</f>
        <v>6.8056477578582042</v>
      </c>
      <c r="X21" s="23">
        <f t="shared" si="14"/>
        <v>3.1439020214028397E-2</v>
      </c>
      <c r="Y21" s="22">
        <f t="shared" si="20"/>
        <v>1.2486726538476099E-2</v>
      </c>
      <c r="Z21" s="22">
        <f t="shared" si="21"/>
        <v>1.5591833964668329E-4</v>
      </c>
      <c r="AA21" s="23">
        <f t="shared" si="8"/>
        <v>133.15000000008149</v>
      </c>
      <c r="AB21" s="26">
        <f t="shared" si="17"/>
        <v>0.99963424472103557</v>
      </c>
      <c r="AC21" s="23">
        <f t="shared" si="18"/>
        <v>3.1450523408991432E-2</v>
      </c>
    </row>
    <row r="22" spans="1:29" ht="15.75" thickBot="1" x14ac:dyDescent="0.3">
      <c r="A22" s="28" t="s">
        <v>51</v>
      </c>
      <c r="B22" s="18">
        <v>43300.625</v>
      </c>
      <c r="C22" s="19">
        <v>43306.071527777778</v>
      </c>
      <c r="D22" s="20">
        <v>6.82</v>
      </c>
      <c r="E22" s="21">
        <v>7.07</v>
      </c>
      <c r="F22" s="22">
        <f t="shared" si="9"/>
        <v>0.48217399999999999</v>
      </c>
      <c r="G22" s="23">
        <f t="shared" si="0"/>
        <v>0</v>
      </c>
      <c r="H22" s="22">
        <f t="shared" si="22"/>
        <v>0.80954372762192417</v>
      </c>
      <c r="I22" s="24">
        <f>(C22-B22)*24</f>
        <v>130.71666666667443</v>
      </c>
      <c r="J22" s="25">
        <f t="shared" si="10"/>
        <v>1.6666666666666666E-2</v>
      </c>
      <c r="K22" s="23">
        <f t="shared" si="2"/>
        <v>0.77137357602208068</v>
      </c>
      <c r="L22" s="22">
        <f t="shared" si="11"/>
        <v>9.8351852100221201E-5</v>
      </c>
      <c r="M22" s="23">
        <f t="shared" si="3"/>
        <v>0</v>
      </c>
      <c r="N22" s="22" t="e">
        <f t="shared" si="4"/>
        <v>#DIV/0!</v>
      </c>
      <c r="O22" s="23">
        <f t="shared" si="5"/>
        <v>0</v>
      </c>
      <c r="P22" s="22" t="e">
        <f t="shared" si="6"/>
        <v>#DIV/0!</v>
      </c>
      <c r="Q22" s="23">
        <f t="shared" si="12"/>
        <v>0</v>
      </c>
      <c r="R22" s="23"/>
      <c r="S22" s="22">
        <v>1.4142135623731E-4</v>
      </c>
      <c r="T22" s="23"/>
      <c r="U22" s="22" t="e">
        <f t="shared" si="13"/>
        <v>#DIV/0!</v>
      </c>
      <c r="V22" s="23"/>
      <c r="W22" s="23"/>
      <c r="X22" s="23"/>
      <c r="Y22" s="22" t="e">
        <f t="shared" si="20"/>
        <v>#DIV/0!</v>
      </c>
      <c r="Z22" s="22" t="e">
        <f t="shared" si="21"/>
        <v>#DIV/0!</v>
      </c>
      <c r="AA22" s="23"/>
      <c r="AB22" s="23"/>
      <c r="AC22" s="23"/>
    </row>
    <row r="23" spans="1:29" x14ac:dyDescent="0.25">
      <c r="Y23" s="31" t="s">
        <v>54</v>
      </c>
      <c r="Z23" s="30"/>
      <c r="AB23" s="30"/>
      <c r="AC23">
        <f>SUM(AC2:AC21)</f>
        <v>10.191266679127532</v>
      </c>
    </row>
    <row r="24" spans="1:29" x14ac:dyDescent="0.25">
      <c r="W24" s="29" t="s">
        <v>52</v>
      </c>
      <c r="X24" s="30">
        <f>SUM(X2:X21)</f>
        <v>10.187718209526565</v>
      </c>
      <c r="Y24" s="29">
        <f>SQRT(SUM(Z2:Z21))</f>
        <v>9.2571641366761701E-2</v>
      </c>
    </row>
    <row r="29" spans="1:29" x14ac:dyDescent="0.25">
      <c r="G29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2021-06-16T17:19:09Z</dcterms:modified>
</cp:coreProperties>
</file>